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6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stasiaanastasia/Downloads/"/>
    </mc:Choice>
  </mc:AlternateContent>
  <xr:revisionPtr revIDLastSave="0" documentId="13_ncr:1_{30C084E6-38B1-E24D-8657-3BDCB422B3CD}" xr6:coauthVersionLast="47" xr6:coauthVersionMax="47" xr10:uidLastSave="{00000000-0000-0000-0000-000000000000}"/>
  <bookViews>
    <workbookView xWindow="0" yWindow="500" windowWidth="28800" windowHeight="15940" activeTab="6" xr2:uid="{41377174-1D02-6F48-BDAF-F829536E5B8B}"/>
  </bookViews>
  <sheets>
    <sheet name="Показатели" sheetId="1" r:id="rId1"/>
    <sheet name="Графики и Структура капитала" sheetId="2" r:id="rId2"/>
    <sheet name="Анализ активов" sheetId="6" r:id="rId3"/>
    <sheet name="Анализ обязательств" sheetId="10" r:id="rId4"/>
    <sheet name="PnL" sheetId="9" r:id="rId5"/>
    <sheet name="Детализация доходов и расходов " sheetId="11" r:id="rId6"/>
    <sheet name="графики для презентации" sheetId="12" r:id="rId7"/>
  </sheets>
  <externalReferences>
    <externalReference r:id="rId8"/>
  </externalReferenc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1" l="1"/>
  <c r="U57" i="6"/>
  <c r="W57" i="6"/>
  <c r="V57" i="6"/>
  <c r="W35" i="6"/>
  <c r="W37" i="6"/>
  <c r="W36" i="6"/>
  <c r="W39" i="6"/>
  <c r="V35" i="6"/>
  <c r="V37" i="6"/>
  <c r="V36" i="6"/>
  <c r="V39" i="6"/>
  <c r="U35" i="6"/>
  <c r="U37" i="6"/>
  <c r="U36" i="6"/>
  <c r="U39" i="6"/>
  <c r="X37" i="6"/>
  <c r="AP4" i="6"/>
  <c r="AP5" i="6"/>
  <c r="AP6" i="6"/>
  <c r="AR4" i="6"/>
  <c r="AR5" i="6"/>
  <c r="AR6" i="6"/>
  <c r="AS7" i="6"/>
  <c r="AQ5" i="6"/>
  <c r="AQ6" i="6"/>
  <c r="AS6" i="6"/>
  <c r="AT12" i="6"/>
  <c r="AK8" i="6"/>
  <c r="AK9" i="6"/>
  <c r="AK10" i="6"/>
  <c r="AI9" i="6"/>
  <c r="AI10" i="6"/>
  <c r="AK13" i="6"/>
  <c r="AI13" i="6"/>
  <c r="AL13" i="6"/>
  <c r="AK14" i="6"/>
  <c r="AI14" i="6"/>
  <c r="AL14" i="6"/>
  <c r="AC11" i="6"/>
  <c r="AC12" i="6"/>
  <c r="AB11" i="6"/>
  <c r="AB12" i="6"/>
  <c r="AD11" i="6"/>
  <c r="AD12" i="6"/>
  <c r="V38" i="6"/>
  <c r="W38" i="6"/>
  <c r="U38" i="6"/>
  <c r="BB2" i="6"/>
  <c r="BC2" i="6"/>
  <c r="BD2" i="6"/>
  <c r="AX5" i="6"/>
  <c r="AX6" i="6"/>
  <c r="BH7" i="6"/>
  <c r="BI7" i="6"/>
  <c r="BM8" i="6"/>
  <c r="BN8" i="6"/>
  <c r="AD8" i="6"/>
  <c r="AW5" i="6"/>
  <c r="AW6" i="6"/>
  <c r="AV5" i="6"/>
  <c r="AV6" i="6"/>
  <c r="AL2" i="6"/>
  <c r="AR9" i="6"/>
  <c r="AR8" i="6"/>
  <c r="AQ9" i="6"/>
  <c r="AQ8" i="6"/>
  <c r="AJ9" i="6"/>
  <c r="AJ10" i="6"/>
  <c r="V34" i="6"/>
  <c r="W34" i="6"/>
  <c r="U34" i="6"/>
  <c r="AB8" i="6"/>
  <c r="AE3" i="6"/>
  <c r="AE4" i="6"/>
  <c r="AE5" i="6"/>
  <c r="AE6" i="6"/>
  <c r="AE7" i="6"/>
  <c r="AE8" i="6"/>
  <c r="AE2" i="6"/>
  <c r="AP9" i="6"/>
  <c r="AP8" i="6"/>
  <c r="AL3" i="6"/>
  <c r="AL4" i="6"/>
  <c r="AL5" i="6"/>
  <c r="AL6" i="6"/>
  <c r="AL7" i="6"/>
  <c r="AL8" i="6"/>
  <c r="AL9" i="6"/>
  <c r="AC8" i="6"/>
  <c r="Q23" i="6"/>
  <c r="P23" i="6"/>
  <c r="T79" i="10"/>
  <c r="T78" i="10"/>
  <c r="T77" i="10"/>
  <c r="T76" i="10"/>
  <c r="S79" i="10"/>
  <c r="S78" i="10"/>
  <c r="S77" i="10"/>
  <c r="S76" i="10"/>
  <c r="R79" i="10"/>
  <c r="R78" i="10"/>
  <c r="R77" i="10"/>
  <c r="R76" i="10"/>
  <c r="J100" i="10"/>
  <c r="J97" i="10"/>
  <c r="J94" i="10"/>
  <c r="M82" i="10"/>
  <c r="M78" i="10"/>
  <c r="K82" i="10"/>
  <c r="K78" i="10"/>
  <c r="K69" i="10"/>
  <c r="P59" i="10"/>
  <c r="K65" i="10"/>
  <c r="P58" i="10"/>
  <c r="K60" i="10"/>
  <c r="P57" i="10"/>
  <c r="K59" i="10"/>
  <c r="P56" i="10"/>
  <c r="J90" i="10"/>
  <c r="L88" i="10"/>
  <c r="J89" i="10"/>
  <c r="K88" i="10"/>
  <c r="I78" i="10"/>
  <c r="I82" i="10"/>
  <c r="I83" i="10"/>
  <c r="I60" i="10"/>
  <c r="O57" i="10"/>
  <c r="I69" i="10"/>
  <c r="O58" i="10"/>
  <c r="I65" i="10"/>
  <c r="I59" i="10"/>
  <c r="D35" i="10"/>
  <c r="C35" i="10"/>
  <c r="D24" i="10"/>
  <c r="C24" i="10"/>
  <c r="K46" i="11"/>
  <c r="K62" i="11"/>
  <c r="L62" i="11"/>
  <c r="M62" i="11"/>
  <c r="N62" i="11"/>
  <c r="K63" i="11"/>
  <c r="L63" i="11"/>
  <c r="M63" i="11"/>
  <c r="N63" i="11"/>
  <c r="K64" i="11"/>
  <c r="L64" i="11"/>
  <c r="M64" i="11"/>
  <c r="N64" i="11"/>
  <c r="K65" i="11"/>
  <c r="L65" i="11"/>
  <c r="M65" i="11"/>
  <c r="N65" i="11"/>
  <c r="K66" i="11"/>
  <c r="L66" i="11"/>
  <c r="M66" i="11"/>
  <c r="N66" i="11"/>
  <c r="K67" i="11"/>
  <c r="L67" i="11"/>
  <c r="M67" i="11"/>
  <c r="N67" i="11"/>
  <c r="K68" i="11"/>
  <c r="L68" i="11"/>
  <c r="M68" i="11"/>
  <c r="N68" i="11"/>
  <c r="K71" i="11"/>
  <c r="L71" i="11"/>
  <c r="M71" i="11"/>
  <c r="N71" i="11"/>
  <c r="K72" i="11"/>
  <c r="L72" i="11"/>
  <c r="M72" i="11"/>
  <c r="N72" i="11"/>
  <c r="K73" i="11"/>
  <c r="L73" i="11"/>
  <c r="M73" i="11"/>
  <c r="N73" i="11"/>
  <c r="K74" i="11"/>
  <c r="L74" i="11"/>
  <c r="M74" i="11"/>
  <c r="N74" i="11"/>
  <c r="K75" i="11"/>
  <c r="L75" i="11"/>
  <c r="M75" i="11"/>
  <c r="N75" i="11"/>
  <c r="K76" i="11"/>
  <c r="L76" i="11"/>
  <c r="M76" i="11"/>
  <c r="N76" i="11"/>
  <c r="K77" i="11"/>
  <c r="L77" i="11"/>
  <c r="M77" i="11"/>
  <c r="N77" i="11"/>
  <c r="K78" i="11"/>
  <c r="L78" i="11"/>
  <c r="M78" i="11"/>
  <c r="N78" i="11"/>
  <c r="K79" i="11"/>
  <c r="L79" i="11"/>
  <c r="M79" i="11"/>
  <c r="N79" i="11"/>
  <c r="K81" i="11"/>
  <c r="L81" i="11"/>
  <c r="M81" i="11"/>
  <c r="N81" i="11"/>
  <c r="K58" i="11"/>
  <c r="L58" i="11"/>
  <c r="M58" i="11"/>
  <c r="N58" i="11"/>
  <c r="O58" i="11"/>
  <c r="K59" i="11"/>
  <c r="L59" i="11"/>
  <c r="M59" i="11"/>
  <c r="N59" i="11"/>
  <c r="O59" i="11"/>
  <c r="K39" i="11"/>
  <c r="L39" i="11"/>
  <c r="M39" i="11"/>
  <c r="N39" i="11"/>
  <c r="O39" i="11"/>
  <c r="K40" i="11"/>
  <c r="L40" i="11"/>
  <c r="K41" i="11"/>
  <c r="L41" i="11"/>
  <c r="M41" i="11"/>
  <c r="K42" i="11"/>
  <c r="L42" i="11"/>
  <c r="M42" i="11"/>
  <c r="N42" i="11"/>
  <c r="O42" i="11"/>
  <c r="K43" i="11"/>
  <c r="L43" i="11"/>
  <c r="N43" i="11"/>
  <c r="O43" i="11"/>
  <c r="K44" i="11"/>
  <c r="L44" i="11"/>
  <c r="N44" i="11"/>
  <c r="O44" i="11"/>
  <c r="K45" i="11"/>
  <c r="L45" i="11"/>
  <c r="M45" i="11"/>
  <c r="N45" i="11"/>
  <c r="O45" i="11"/>
  <c r="L46" i="11"/>
  <c r="M46" i="11"/>
  <c r="N46" i="11"/>
  <c r="O46" i="11"/>
  <c r="K47" i="11"/>
  <c r="L47" i="11"/>
  <c r="M47" i="11"/>
  <c r="N47" i="11"/>
  <c r="O47" i="11"/>
  <c r="K51" i="11"/>
  <c r="L51" i="11"/>
  <c r="M51" i="11"/>
  <c r="N51" i="11"/>
  <c r="O51" i="11"/>
  <c r="K52" i="11"/>
  <c r="L52" i="11"/>
  <c r="N52" i="11"/>
  <c r="O52" i="11"/>
  <c r="K53" i="11"/>
  <c r="L53" i="11"/>
  <c r="N53" i="11"/>
  <c r="O53" i="11"/>
  <c r="K55" i="11"/>
  <c r="L55" i="11"/>
  <c r="M55" i="11"/>
  <c r="N55" i="11"/>
  <c r="O55" i="11"/>
  <c r="L56" i="11"/>
  <c r="N56" i="11"/>
  <c r="K57" i="11"/>
  <c r="L57" i="11"/>
  <c r="N57" i="11"/>
  <c r="O57" i="11"/>
  <c r="I4" i="11"/>
  <c r="I5" i="11"/>
  <c r="I6" i="11"/>
  <c r="I7" i="11"/>
  <c r="I8" i="11"/>
  <c r="I9" i="11"/>
  <c r="I10" i="11"/>
  <c r="I11" i="11"/>
  <c r="I12" i="11"/>
  <c r="I13" i="11"/>
  <c r="I19" i="11"/>
  <c r="I20" i="11"/>
  <c r="I21" i="11"/>
  <c r="I22" i="11"/>
  <c r="I23" i="11"/>
  <c r="I24" i="11"/>
  <c r="I26" i="11"/>
  <c r="I27" i="11"/>
  <c r="I28" i="11"/>
  <c r="I29" i="11"/>
  <c r="I30" i="11"/>
  <c r="I31" i="11"/>
  <c r="I32" i="11"/>
  <c r="I33" i="11"/>
  <c r="I34" i="11"/>
  <c r="I36" i="11"/>
  <c r="I39" i="11"/>
  <c r="I42" i="11"/>
  <c r="I43" i="11"/>
  <c r="I44" i="11"/>
  <c r="I45" i="11"/>
  <c r="I46" i="11"/>
  <c r="I47" i="11"/>
  <c r="I51" i="11"/>
  <c r="I52" i="11"/>
  <c r="I53" i="11"/>
  <c r="I55" i="11"/>
  <c r="I56" i="11"/>
  <c r="I57" i="11"/>
  <c r="I58" i="11"/>
  <c r="I59" i="11"/>
  <c r="I62" i="11"/>
  <c r="I63" i="11"/>
  <c r="I64" i="11"/>
  <c r="I65" i="11"/>
  <c r="I66" i="11"/>
  <c r="I67" i="11"/>
  <c r="I68" i="11"/>
  <c r="I71" i="11"/>
  <c r="I72" i="11"/>
  <c r="I73" i="11"/>
  <c r="I74" i="11"/>
  <c r="I75" i="11"/>
  <c r="I76" i="11"/>
  <c r="I77" i="11"/>
  <c r="I78" i="11"/>
  <c r="I79" i="11"/>
  <c r="I81" i="11"/>
  <c r="I3" i="11"/>
  <c r="B71" i="11"/>
  <c r="C71" i="11"/>
  <c r="D71" i="11"/>
  <c r="E71" i="11"/>
  <c r="F71" i="11"/>
  <c r="B75" i="11"/>
  <c r="C75" i="11"/>
  <c r="D75" i="11"/>
  <c r="E75" i="11"/>
  <c r="F75" i="11"/>
  <c r="B66" i="11"/>
  <c r="C66" i="11"/>
  <c r="D66" i="11"/>
  <c r="E66" i="11"/>
  <c r="F66" i="11"/>
  <c r="B73" i="11"/>
  <c r="C73" i="11"/>
  <c r="D73" i="11"/>
  <c r="E73" i="11"/>
  <c r="F73" i="11"/>
  <c r="B64" i="11"/>
  <c r="C64" i="11"/>
  <c r="D64" i="11"/>
  <c r="E64" i="11"/>
  <c r="F64" i="11"/>
  <c r="B62" i="11"/>
  <c r="C62" i="11"/>
  <c r="D62" i="11"/>
  <c r="E62" i="11"/>
  <c r="F62" i="11"/>
  <c r="B77" i="11"/>
  <c r="C77" i="11"/>
  <c r="D77" i="11"/>
  <c r="E77" i="11"/>
  <c r="F77" i="11"/>
  <c r="M11" i="11"/>
  <c r="K4" i="11"/>
  <c r="L4" i="11"/>
  <c r="M4" i="11"/>
  <c r="N4" i="11"/>
  <c r="O4" i="11"/>
  <c r="K5" i="11"/>
  <c r="L5" i="11"/>
  <c r="M5" i="11"/>
  <c r="N5" i="11"/>
  <c r="O5" i="11"/>
  <c r="K6" i="11"/>
  <c r="L6" i="11"/>
  <c r="M6" i="11"/>
  <c r="N6" i="11"/>
  <c r="O6" i="11"/>
  <c r="K7" i="11"/>
  <c r="N7" i="11"/>
  <c r="K8" i="11"/>
  <c r="L8" i="11"/>
  <c r="M8" i="11"/>
  <c r="N8" i="11"/>
  <c r="O8" i="11"/>
  <c r="K10" i="11"/>
  <c r="L10" i="11"/>
  <c r="M10" i="11"/>
  <c r="N10" i="11"/>
  <c r="O10" i="11"/>
  <c r="K11" i="11"/>
  <c r="L11" i="11"/>
  <c r="N11" i="11"/>
  <c r="O11" i="11"/>
  <c r="K12" i="11"/>
  <c r="L12" i="11"/>
  <c r="M12" i="11"/>
  <c r="N12" i="11"/>
  <c r="O12" i="11"/>
  <c r="K13" i="11"/>
  <c r="L13" i="11"/>
  <c r="M13" i="11"/>
  <c r="N13" i="11"/>
  <c r="O13" i="11"/>
  <c r="K15" i="11"/>
  <c r="L15" i="11"/>
  <c r="M15" i="11"/>
  <c r="K16" i="11"/>
  <c r="L16" i="11"/>
  <c r="M16" i="11"/>
  <c r="N17" i="11"/>
  <c r="O17" i="11"/>
  <c r="K19" i="11"/>
  <c r="L19" i="11"/>
  <c r="M19" i="11"/>
  <c r="N19" i="11"/>
  <c r="O19" i="11"/>
  <c r="K20" i="11"/>
  <c r="L20" i="11"/>
  <c r="M20" i="11"/>
  <c r="N20" i="11"/>
  <c r="O20" i="11"/>
  <c r="K21" i="11"/>
  <c r="L21" i="11"/>
  <c r="M21" i="11"/>
  <c r="N21" i="11"/>
  <c r="O21" i="11"/>
  <c r="K22" i="11"/>
  <c r="L22" i="11"/>
  <c r="M22" i="11"/>
  <c r="N22" i="11"/>
  <c r="O22" i="11"/>
  <c r="K23" i="11"/>
  <c r="L23" i="11"/>
  <c r="M23" i="11"/>
  <c r="N23" i="11"/>
  <c r="O23" i="11"/>
  <c r="K24" i="11"/>
  <c r="L24" i="11"/>
  <c r="M24" i="11"/>
  <c r="N24" i="11"/>
  <c r="O24" i="11"/>
  <c r="M25" i="11"/>
  <c r="N25" i="11"/>
  <c r="O25" i="11"/>
  <c r="K26" i="11"/>
  <c r="L26" i="11"/>
  <c r="M26" i="11"/>
  <c r="N26" i="11"/>
  <c r="O26" i="11"/>
  <c r="K27" i="11"/>
  <c r="L27" i="11"/>
  <c r="N27" i="11"/>
  <c r="O27" i="11"/>
  <c r="K28" i="11"/>
  <c r="L28" i="11"/>
  <c r="N28" i="11"/>
  <c r="O28" i="11"/>
  <c r="K29" i="11"/>
  <c r="L29" i="11"/>
  <c r="M29" i="11"/>
  <c r="N29" i="11"/>
  <c r="O29" i="11"/>
  <c r="K30" i="11"/>
  <c r="L30" i="11"/>
  <c r="M30" i="11"/>
  <c r="N30" i="11"/>
  <c r="O30" i="11"/>
  <c r="K31" i="11"/>
  <c r="L31" i="11"/>
  <c r="M31" i="11"/>
  <c r="N31" i="11"/>
  <c r="O31" i="11"/>
  <c r="K32" i="11"/>
  <c r="L32" i="11"/>
  <c r="N32" i="11"/>
  <c r="O32" i="11"/>
  <c r="K33" i="11"/>
  <c r="L33" i="11"/>
  <c r="N33" i="11"/>
  <c r="K34" i="11"/>
  <c r="L34" i="11"/>
  <c r="M34" i="11"/>
  <c r="N34" i="11"/>
  <c r="O34" i="11"/>
  <c r="M35" i="11"/>
  <c r="N35" i="11"/>
  <c r="O35" i="11"/>
  <c r="L3" i="11"/>
  <c r="M3" i="11"/>
  <c r="N3" i="11"/>
  <c r="O3" i="11"/>
  <c r="K3" i="11"/>
  <c r="L2" i="11"/>
  <c r="M2" i="11"/>
  <c r="N2" i="11"/>
  <c r="O2" i="11"/>
  <c r="F36" i="11"/>
  <c r="E36" i="11"/>
  <c r="D36" i="11"/>
  <c r="C36" i="11"/>
  <c r="K36" i="11"/>
  <c r="G36" i="11"/>
  <c r="X29" i="6"/>
  <c r="X28" i="6"/>
  <c r="X27" i="6"/>
  <c r="X26" i="6"/>
  <c r="X25" i="6"/>
  <c r="W29" i="6"/>
  <c r="W28" i="6"/>
  <c r="W27" i="6"/>
  <c r="W26" i="6"/>
  <c r="W25" i="6"/>
  <c r="V29" i="6"/>
  <c r="V28" i="6"/>
  <c r="V27" i="6"/>
  <c r="V26" i="6"/>
  <c r="V25" i="6"/>
  <c r="U29" i="6"/>
  <c r="U28" i="6"/>
  <c r="U27" i="6"/>
  <c r="U26" i="6"/>
  <c r="U25" i="6"/>
  <c r="E16" i="6"/>
  <c r="X13" i="6"/>
  <c r="H16" i="6"/>
  <c r="X12" i="6"/>
  <c r="K16" i="6"/>
  <c r="X11" i="6"/>
  <c r="N16" i="6"/>
  <c r="X10" i="6"/>
  <c r="Q16" i="6"/>
  <c r="X9" i="6"/>
  <c r="E8" i="6"/>
  <c r="E9" i="6"/>
  <c r="W13" i="6"/>
  <c r="H8" i="6"/>
  <c r="H9" i="6"/>
  <c r="W12" i="6"/>
  <c r="K8" i="6"/>
  <c r="K9" i="6"/>
  <c r="W11" i="6"/>
  <c r="N8" i="6"/>
  <c r="W10" i="6"/>
  <c r="Q8" i="6"/>
  <c r="Q9" i="6"/>
  <c r="W9" i="6"/>
  <c r="E3" i="6"/>
  <c r="V13" i="6"/>
  <c r="H3" i="6"/>
  <c r="V12" i="6"/>
  <c r="K3" i="6"/>
  <c r="V11" i="6"/>
  <c r="N3" i="6"/>
  <c r="V10" i="6"/>
  <c r="Q3" i="6"/>
  <c r="V9" i="6"/>
  <c r="Q6" i="6"/>
  <c r="U9" i="6"/>
  <c r="N6" i="6"/>
  <c r="U10" i="6"/>
  <c r="K6" i="6"/>
  <c r="U11" i="6"/>
  <c r="H6" i="6"/>
  <c r="U12" i="6"/>
  <c r="E6" i="6"/>
  <c r="U13" i="6"/>
  <c r="V6" i="10"/>
  <c r="V5" i="10"/>
  <c r="V4" i="10"/>
  <c r="V3" i="10"/>
  <c r="V2" i="10"/>
  <c r="N7" i="10"/>
  <c r="K8" i="10"/>
  <c r="H4" i="10"/>
  <c r="Q9" i="10"/>
  <c r="Q8" i="10"/>
  <c r="Q5" i="10"/>
  <c r="Q4" i="10"/>
  <c r="N9" i="10"/>
  <c r="N8" i="10"/>
  <c r="N5" i="10"/>
  <c r="N4" i="10"/>
  <c r="K9" i="10"/>
  <c r="K5" i="10"/>
  <c r="K4" i="10"/>
  <c r="H9" i="10"/>
  <c r="H8" i="10"/>
  <c r="H5" i="10"/>
  <c r="E5" i="10"/>
  <c r="E7" i="10"/>
  <c r="E8" i="10"/>
  <c r="E9" i="10"/>
  <c r="E4" i="10"/>
  <c r="S10" i="10"/>
  <c r="S9" i="10"/>
  <c r="S8" i="10"/>
  <c r="S6" i="10"/>
  <c r="S5" i="10"/>
  <c r="S4" i="10"/>
  <c r="S3" i="10"/>
  <c r="P10" i="10"/>
  <c r="P9" i="10"/>
  <c r="P8" i="10"/>
  <c r="P7" i="10"/>
  <c r="P6" i="10"/>
  <c r="P5" i="10"/>
  <c r="P4" i="10"/>
  <c r="M10" i="10"/>
  <c r="M9" i="10"/>
  <c r="M8" i="10"/>
  <c r="M7" i="10"/>
  <c r="M6" i="10"/>
  <c r="M5" i="10"/>
  <c r="M4" i="10"/>
  <c r="J10" i="10"/>
  <c r="J9" i="10"/>
  <c r="J8" i="10"/>
  <c r="J7" i="10"/>
  <c r="J6" i="10"/>
  <c r="J5" i="10"/>
  <c r="J4" i="10"/>
  <c r="G10" i="10"/>
  <c r="G5" i="10"/>
  <c r="G6" i="10"/>
  <c r="G7" i="10"/>
  <c r="G8" i="10"/>
  <c r="G9" i="10"/>
  <c r="G4" i="10"/>
  <c r="D5" i="10"/>
  <c r="D6" i="10"/>
  <c r="D7" i="10"/>
  <c r="D8" i="10"/>
  <c r="D9" i="10"/>
  <c r="D10" i="10"/>
  <c r="D4" i="10"/>
  <c r="D3" i="6"/>
  <c r="P3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24" i="6"/>
  <c r="H25" i="6"/>
  <c r="H26" i="6"/>
  <c r="H27" i="6"/>
  <c r="H28" i="6"/>
  <c r="H29" i="6"/>
  <c r="H30" i="6"/>
  <c r="H31" i="6"/>
  <c r="H32" i="6"/>
  <c r="H38" i="6"/>
  <c r="H40" i="6"/>
  <c r="H41" i="6"/>
  <c r="H42" i="6"/>
  <c r="H43" i="6"/>
  <c r="H44" i="6"/>
  <c r="H45" i="6"/>
  <c r="H24" i="6"/>
  <c r="F25" i="6"/>
  <c r="F26" i="6"/>
  <c r="F27" i="6"/>
  <c r="F28" i="6"/>
  <c r="F29" i="6"/>
  <c r="F30" i="6"/>
  <c r="F31" i="6"/>
  <c r="F32" i="6"/>
  <c r="F38" i="6"/>
  <c r="F40" i="6"/>
  <c r="F41" i="6"/>
  <c r="F42" i="6"/>
  <c r="F43" i="6"/>
  <c r="F44" i="6"/>
  <c r="F45" i="6"/>
  <c r="F24" i="6"/>
  <c r="D25" i="6"/>
  <c r="D26" i="6"/>
  <c r="D27" i="6"/>
  <c r="D28" i="6"/>
  <c r="D29" i="6"/>
  <c r="D30" i="6"/>
  <c r="D31" i="6"/>
  <c r="D32" i="6"/>
  <c r="D38" i="6"/>
  <c r="D40" i="6"/>
  <c r="D41" i="6"/>
  <c r="D42" i="6"/>
  <c r="D43" i="6"/>
  <c r="D44" i="6"/>
  <c r="D45" i="6"/>
  <c r="D24" i="6"/>
  <c r="Q4" i="6"/>
  <c r="Q5" i="6"/>
  <c r="Q11" i="6"/>
  <c r="Q12" i="6"/>
  <c r="Q14" i="6"/>
  <c r="Q17" i="6"/>
  <c r="Q18" i="6"/>
  <c r="Q19" i="6"/>
  <c r="Q20" i="6"/>
  <c r="Q21" i="6"/>
  <c r="P4" i="6"/>
  <c r="P5" i="6"/>
  <c r="P6" i="6"/>
  <c r="P8" i="6"/>
  <c r="P9" i="6"/>
  <c r="P11" i="6"/>
  <c r="P12" i="6"/>
  <c r="P14" i="6"/>
  <c r="P16" i="6"/>
  <c r="P17" i="6"/>
  <c r="P18" i="6"/>
  <c r="P19" i="6"/>
  <c r="P20" i="6"/>
  <c r="P21" i="6"/>
  <c r="N4" i="6"/>
  <c r="N5" i="6"/>
  <c r="N11" i="6"/>
  <c r="N12" i="6"/>
  <c r="N14" i="6"/>
  <c r="N17" i="6"/>
  <c r="N18" i="6"/>
  <c r="N19" i="6"/>
  <c r="N20" i="6"/>
  <c r="N21" i="6"/>
  <c r="M4" i="6"/>
  <c r="M5" i="6"/>
  <c r="M6" i="6"/>
  <c r="M8" i="6"/>
  <c r="M11" i="6"/>
  <c r="M12" i="6"/>
  <c r="M14" i="6"/>
  <c r="M16" i="6"/>
  <c r="M17" i="6"/>
  <c r="M18" i="6"/>
  <c r="M19" i="6"/>
  <c r="M20" i="6"/>
  <c r="M21" i="6"/>
  <c r="M3" i="6"/>
  <c r="K4" i="6"/>
  <c r="K5" i="6"/>
  <c r="K11" i="6"/>
  <c r="K14" i="6"/>
  <c r="K17" i="6"/>
  <c r="K18" i="6"/>
  <c r="K19" i="6"/>
  <c r="K20" i="6"/>
  <c r="K21" i="6"/>
  <c r="J4" i="6"/>
  <c r="J5" i="6"/>
  <c r="J6" i="6"/>
  <c r="J8" i="6"/>
  <c r="J9" i="6"/>
  <c r="J11" i="6"/>
  <c r="J14" i="6"/>
  <c r="J16" i="6"/>
  <c r="J17" i="6"/>
  <c r="J18" i="6"/>
  <c r="J19" i="6"/>
  <c r="J20" i="6"/>
  <c r="J21" i="6"/>
  <c r="H4" i="6"/>
  <c r="H5" i="6"/>
  <c r="H11" i="6"/>
  <c r="H12" i="6"/>
  <c r="H17" i="6"/>
  <c r="H18" i="6"/>
  <c r="H19" i="6"/>
  <c r="H20" i="6"/>
  <c r="H21" i="6"/>
  <c r="G4" i="6"/>
  <c r="G5" i="6"/>
  <c r="G6" i="6"/>
  <c r="G8" i="6"/>
  <c r="G9" i="6"/>
  <c r="G11" i="6"/>
  <c r="G12" i="6"/>
  <c r="G16" i="6"/>
  <c r="G17" i="6"/>
  <c r="G18" i="6"/>
  <c r="G19" i="6"/>
  <c r="G20" i="6"/>
  <c r="G21" i="6"/>
  <c r="E4" i="6"/>
  <c r="E5" i="6"/>
  <c r="E11" i="6"/>
  <c r="E12" i="6"/>
  <c r="E18" i="6"/>
  <c r="E19" i="6"/>
  <c r="E20" i="6"/>
  <c r="E21" i="6"/>
  <c r="D4" i="6"/>
  <c r="D5" i="6"/>
  <c r="D6" i="6"/>
  <c r="D8" i="6"/>
  <c r="D9" i="6"/>
  <c r="D11" i="6"/>
  <c r="D12" i="6"/>
  <c r="D16" i="6"/>
  <c r="D18" i="6"/>
  <c r="D19" i="6"/>
  <c r="D20" i="6"/>
  <c r="D21" i="6"/>
  <c r="J26" i="1"/>
  <c r="J3" i="6"/>
  <c r="G3" i="6"/>
  <c r="J34" i="1"/>
  <c r="D2" i="2"/>
  <c r="B72" i="1"/>
  <c r="K78" i="1"/>
  <c r="L78" i="1"/>
  <c r="M78" i="1"/>
  <c r="N78" i="1"/>
  <c r="J78" i="1"/>
  <c r="K64" i="1"/>
  <c r="L64" i="1"/>
  <c r="M64" i="1"/>
  <c r="N64" i="1"/>
  <c r="J64" i="1"/>
  <c r="J72" i="1"/>
  <c r="K72" i="1"/>
  <c r="L72" i="1"/>
  <c r="M72" i="1"/>
  <c r="N72" i="1"/>
  <c r="F35" i="1"/>
  <c r="N55" i="1"/>
  <c r="J55" i="1"/>
  <c r="K48" i="1"/>
  <c r="L48" i="1"/>
  <c r="M48" i="1"/>
  <c r="N48" i="1"/>
  <c r="J48" i="1"/>
  <c r="K41" i="1"/>
  <c r="L41" i="1"/>
  <c r="M41" i="1"/>
  <c r="N41" i="1"/>
  <c r="J41" i="1"/>
  <c r="K34" i="1"/>
  <c r="L34" i="1"/>
  <c r="M34" i="1"/>
  <c r="N34" i="1"/>
  <c r="K26" i="1"/>
  <c r="K55" i="1"/>
  <c r="L26" i="1"/>
  <c r="L55" i="1"/>
  <c r="M26" i="1"/>
  <c r="M55" i="1"/>
  <c r="N26" i="1"/>
  <c r="C47" i="1"/>
  <c r="D47" i="1"/>
  <c r="E47" i="1"/>
  <c r="F47" i="1"/>
  <c r="B47" i="1"/>
  <c r="C40" i="1"/>
  <c r="D40" i="1"/>
  <c r="E40" i="1"/>
  <c r="F40" i="1"/>
  <c r="B40" i="1"/>
  <c r="I71" i="10"/>
  <c r="O56" i="10"/>
  <c r="I70" i="10"/>
  <c r="O59" i="10"/>
  <c r="J91" i="10"/>
  <c r="K71" i="10"/>
  <c r="L60" i="10"/>
  <c r="L65" i="10"/>
  <c r="K70" i="10"/>
  <c r="L70" i="10"/>
  <c r="L69" i="10"/>
  <c r="K83" i="10"/>
  <c r="L82" i="10"/>
  <c r="M83" i="10"/>
  <c r="N82" i="10"/>
  <c r="L100" i="10"/>
  <c r="K100" i="10"/>
  <c r="L97" i="10"/>
  <c r="K97" i="10"/>
  <c r="L94" i="10"/>
  <c r="K94" i="10"/>
  <c r="J70" i="10"/>
  <c r="J81" i="10"/>
  <c r="J80" i="10"/>
  <c r="J77" i="10"/>
  <c r="J76" i="10"/>
  <c r="J82" i="10"/>
  <c r="J78" i="10"/>
  <c r="J65" i="10"/>
  <c r="J69" i="10"/>
  <c r="J60" i="10"/>
  <c r="B68" i="11"/>
  <c r="E68" i="11"/>
  <c r="D68" i="11"/>
  <c r="F68" i="11"/>
  <c r="C68" i="11"/>
  <c r="C63" i="11"/>
  <c r="O36" i="11"/>
  <c r="F63" i="11"/>
  <c r="E63" i="11"/>
  <c r="D63" i="11"/>
  <c r="B63" i="11"/>
  <c r="F65" i="11"/>
  <c r="E65" i="11"/>
  <c r="D65" i="11"/>
  <c r="B65" i="11"/>
  <c r="F67" i="11"/>
  <c r="E67" i="11"/>
  <c r="D67" i="11"/>
  <c r="C67" i="11"/>
  <c r="B67" i="11"/>
  <c r="F79" i="11"/>
  <c r="F72" i="11"/>
  <c r="E79" i="11"/>
  <c r="E81" i="11"/>
  <c r="D79" i="11"/>
  <c r="D72" i="11"/>
  <c r="C79" i="11"/>
  <c r="C74" i="11"/>
  <c r="B79" i="11"/>
  <c r="B74" i="11"/>
  <c r="L36" i="11"/>
  <c r="M36" i="11"/>
  <c r="N36" i="11"/>
  <c r="F81" i="11"/>
  <c r="E72" i="11"/>
  <c r="N77" i="10"/>
  <c r="N80" i="10"/>
  <c r="N81" i="10"/>
  <c r="N76" i="10"/>
  <c r="N78" i="10"/>
  <c r="L76" i="10"/>
  <c r="L77" i="10"/>
  <c r="L80" i="10"/>
  <c r="L81" i="10"/>
  <c r="L78" i="10"/>
  <c r="L68" i="10"/>
  <c r="L67" i="10"/>
  <c r="L64" i="10"/>
  <c r="L63" i="10"/>
  <c r="L58" i="10"/>
  <c r="L57" i="10"/>
  <c r="L59" i="10"/>
  <c r="L91" i="10"/>
  <c r="K91" i="10"/>
  <c r="J58" i="10"/>
  <c r="J63" i="10"/>
  <c r="J64" i="10"/>
  <c r="J67" i="10"/>
  <c r="J68" i="10"/>
  <c r="J57" i="10"/>
  <c r="J59" i="10"/>
  <c r="B72" i="11"/>
  <c r="E74" i="11"/>
  <c r="C65" i="11"/>
  <c r="B81" i="11"/>
  <c r="C72" i="11"/>
  <c r="C81" i="11"/>
  <c r="D81" i="11"/>
  <c r="D74" i="11"/>
  <c r="F74" i="11"/>
  <c r="B78" i="11"/>
  <c r="B76" i="11"/>
  <c r="C78" i="11"/>
  <c r="C76" i="11"/>
  <c r="D78" i="11"/>
  <c r="D76" i="11"/>
  <c r="E78" i="11"/>
  <c r="E76" i="11"/>
  <c r="F78" i="11"/>
  <c r="F76" i="11"/>
</calcChain>
</file>

<file path=xl/sharedStrings.xml><?xml version="1.0" encoding="utf-8"?>
<sst xmlns="http://schemas.openxmlformats.org/spreadsheetml/2006/main" count="537" uniqueCount="264">
  <si>
    <t>(в миллионах российских рублей)</t>
  </si>
  <si>
    <t>за 6 месяцев 2024 года</t>
  </si>
  <si>
    <t>АКТИВЫ</t>
  </si>
  <si>
    <t xml:space="preserve">30 июня 2024 </t>
  </si>
  <si>
    <t>31 декабря 2023</t>
  </si>
  <si>
    <t>31 декабря 2022</t>
  </si>
  <si>
    <t>31 декабря 2021</t>
  </si>
  <si>
    <t>31 декабря 2020</t>
  </si>
  <si>
    <t>ВЫРУЧКА У БАНКОВ</t>
  </si>
  <si>
    <t>Процентные доходы, рассчитанные по методу эффективной процентной ставки</t>
  </si>
  <si>
    <t>Денежные средства и их эквиваленты</t>
  </si>
  <si>
    <t>Прочие аналогичные доходы</t>
  </si>
  <si>
    <t>Обязательные резервы в ЦБ РФ</t>
  </si>
  <si>
    <t>Процентные расходы, рассчитанные по методу эффективной процентной ставки</t>
  </si>
  <si>
    <t>Средства в других банках</t>
  </si>
  <si>
    <t>Прочие аналогичные расходы</t>
  </si>
  <si>
    <t>Кредиты и авансы клиентам</t>
  </si>
  <si>
    <t>Чистые процентные доходы</t>
  </si>
  <si>
    <t>Инвестиции в ценные бумаги, оцениваемые по справедливой стоимости через прочий совокупный доход:</t>
  </si>
  <si>
    <t>Оценочный резерв под кредитные убытки</t>
  </si>
  <si>
    <t>﻿﻿находящиеся в собственности Группы</t>
  </si>
  <si>
    <t>Чистые процентные доходы после создания резерва под ожидаемые кредитные убытки</t>
  </si>
  <si>
    <t>﻿﻿обремененные залогом по сделкам «РЕПО»</t>
  </si>
  <si>
    <t>Комиссионные доходы</t>
  </si>
  <si>
    <t>Инвестиции в ценные бумаги, оцениваемые по амортизированной стоимости:</t>
  </si>
  <si>
    <t>Комиссионные расходы</t>
  </si>
  <si>
    <t>Доходы за вычетом расходов по операциям с иностранной валютой</t>
  </si>
  <si>
    <t>-</t>
  </si>
  <si>
    <t>(Расходы за вычетом доходов)/ Доходы за вычетом расходов по операциям с финансовыми инструментами, оцениваемыми по справедливой стоимости черезприбыль или убыток</t>
  </si>
  <si>
    <t>Инвестиционное имущество</t>
  </si>
  <si>
    <t>Доходы за вычетом расходов от операций с финансовыми активами, оцениваемыми по справедливой стоимости черезпрочий совокупный доход</t>
  </si>
  <si>
    <t>Основные средства, нематериальные активы и активы в форме права пользования</t>
  </si>
  <si>
    <t xml:space="preserve"> Расходы за вычетом доходов от операций с финансовыми  активами, оцениваемыми по амортизированной стоимости</t>
  </si>
  <si>
    <t>Предоплата текущих налоговых обязательств</t>
  </si>
  <si>
    <t>Изменение прочего резерва</t>
  </si>
  <si>
    <t>Отложенные налоговые активы</t>
  </si>
  <si>
    <t>Финансовый результат от операций с иностранной валютой и ценными бумагами</t>
  </si>
  <si>
    <t>Прочие финансовые активы</t>
  </si>
  <si>
    <t>Прочие операционные доходы</t>
  </si>
  <si>
    <t>Прочие активы</t>
  </si>
  <si>
    <t> </t>
  </si>
  <si>
    <t>Прочие операционные расходы</t>
  </si>
  <si>
    <t>ИТОГО АКТИВЫ</t>
  </si>
  <si>
    <t>Расходы на персонал</t>
  </si>
  <si>
    <t>Прочие общехозяйственные и административные расходы</t>
  </si>
  <si>
    <t>ОБЯЗАТЕЛЬСТВА</t>
  </si>
  <si>
    <t>Прибыль до налогообложения</t>
  </si>
  <si>
    <t>Расходы по налогу на прибыль</t>
  </si>
  <si>
    <t>Средства других банков</t>
  </si>
  <si>
    <t>ПРИБЫЛЬ ЗА ГОД</t>
  </si>
  <si>
    <t>Средства клиентов</t>
  </si>
  <si>
    <t>Выпущенные ценные бумаги</t>
  </si>
  <si>
    <t>Текущие обязательства по налогу на прибыль</t>
  </si>
  <si>
    <t>Прочие финансовые обязательства</t>
  </si>
  <si>
    <t>Прочие обязательства</t>
  </si>
  <si>
    <t>Субординированные обязательства</t>
  </si>
  <si>
    <t>ИТОГО ОБЯЗАТЕЛЬСТВА</t>
  </si>
  <si>
    <t>КАПИТАЛ</t>
  </si>
  <si>
    <t>Акционерный капитал</t>
  </si>
  <si>
    <t>Добавочный капитал</t>
  </si>
  <si>
    <t>Прочие фонды</t>
  </si>
  <si>
    <t>Нераспределенная прибыль</t>
  </si>
  <si>
    <t>ИТОГО КАПИТАЛ</t>
  </si>
  <si>
    <t>ИТОГО ОБЯЗАТЕЛЬСТВА И КАПИТАЛ</t>
  </si>
  <si>
    <t>Год</t>
  </si>
  <si>
    <t>EM</t>
  </si>
  <si>
    <t>LEV</t>
  </si>
  <si>
    <t>ROE</t>
  </si>
  <si>
    <t>ROA</t>
  </si>
  <si>
    <t>PM</t>
  </si>
  <si>
    <t>AU</t>
  </si>
  <si>
    <t>CIR</t>
  </si>
  <si>
    <t>SPREAD</t>
  </si>
  <si>
    <t>NIM</t>
  </si>
  <si>
    <t>COR</t>
  </si>
  <si>
    <t>Номер расшифровки</t>
  </si>
  <si>
    <t>Наименование статьи</t>
  </si>
  <si>
    <t>Прирост</t>
  </si>
  <si>
    <t>Структура активов, %</t>
  </si>
  <si>
    <t>Динамика активов</t>
  </si>
  <si>
    <t>Расшифровка №1:</t>
  </si>
  <si>
    <t>Доли 2024</t>
  </si>
  <si>
    <t>Расшифровка №2:</t>
  </si>
  <si>
    <t>Расшифровка №3:</t>
  </si>
  <si>
    <t>Расшифровка №4:</t>
  </si>
  <si>
    <t>Расшифровка №5:</t>
  </si>
  <si>
    <t>Расшифровка №6:</t>
  </si>
  <si>
    <t>Расшифровка №7:</t>
  </si>
  <si>
    <t>АКТИВЫ (млн руб)</t>
  </si>
  <si>
    <t xml:space="preserve">Касса </t>
  </si>
  <si>
    <t>Корпоративные кредиты</t>
  </si>
  <si>
    <t xml:space="preserve">Кредиты, выданные юридическим лицам </t>
  </si>
  <si>
    <t>Облигации федерального займа Российской Федерации (ОФЗ)</t>
  </si>
  <si>
    <t>Основные средства</t>
  </si>
  <si>
    <t>Дебиторская задолженность</t>
  </si>
  <si>
    <t>Предоплата и расходы будущих периодов</t>
  </si>
  <si>
    <t>1</t>
  </si>
  <si>
    <t xml:space="preserve">Счета типа «Ностро» в ЦБ РФ </t>
  </si>
  <si>
    <t>Факторинг</t>
  </si>
  <si>
    <t>Корпоративные облигации</t>
  </si>
  <si>
    <t>Средства в расчетах с платежными системами</t>
  </si>
  <si>
    <t>Обеспечение, полученное в собственность за неплатежи</t>
  </si>
  <si>
    <t xml:space="preserve">Депозиты в ЦБ РФ </t>
  </si>
  <si>
    <t>Розничные кредиты</t>
  </si>
  <si>
    <t xml:space="preserve">Кредиты на покупку автомобилей </t>
  </si>
  <si>
    <t>(Оценочный резерв под кредитные убытки)</t>
  </si>
  <si>
    <t>Обеспечительные платежи по программе лояльности</t>
  </si>
  <si>
    <t>Драгоценные металлы</t>
  </si>
  <si>
    <t>Счета типа «Ностро» в прочих банках</t>
  </si>
  <si>
    <t xml:space="preserve">Ипотечные кредиты </t>
  </si>
  <si>
    <t>Итого инвестиции в долговые ценные бумаги, оцениваемые по справедливой стоимости через прочий совокупный доход</t>
  </si>
  <si>
    <t>Итого инвестиции в долговые ценные бумаги, оцениваемые по амортизированной стоимости</t>
  </si>
  <si>
    <t>Производные финансовые активы</t>
  </si>
  <si>
    <t>Предоплата по налогам и сборам</t>
  </si>
  <si>
    <t>2</t>
  </si>
  <si>
    <t>Срочные депозиты в прочих банках со сроком погашения в течение 90 дней с даты возникновения</t>
  </si>
  <si>
    <t xml:space="preserve">Потребительские кредиты </t>
  </si>
  <si>
    <t>Доходность</t>
  </si>
  <si>
    <t>Прочее</t>
  </si>
  <si>
    <t>Обратное репо с прочими банками со сроком погашения в течение 90 дней с даты возникновения</t>
  </si>
  <si>
    <t>Кредиты на образование</t>
  </si>
  <si>
    <t>Доля</t>
  </si>
  <si>
    <t>Итого прочие финансовые активы</t>
  </si>
  <si>
    <t>3</t>
  </si>
  <si>
    <t>Инвестиции в ценные бумаги</t>
  </si>
  <si>
    <t>Всего денежных средств и их эквивалентов</t>
  </si>
  <si>
    <t>Итого прочие активы</t>
  </si>
  <si>
    <t>Итого балансовая стоимость кредитов и авансов клиентам</t>
  </si>
  <si>
    <t>4</t>
  </si>
  <si>
    <t>Дебиторская задолженность по текущему налогу на прибыль</t>
  </si>
  <si>
    <t xml:space="preserve">Корпоративные кредиты </t>
  </si>
  <si>
    <t>Сводная таблица доходности</t>
  </si>
  <si>
    <t>Активы, сдаваемые в операционную аренду</t>
  </si>
  <si>
    <t>от ruAAA- до ruAAA+</t>
  </si>
  <si>
    <t>от ruAA- до ruAA+</t>
  </si>
  <si>
    <t>от ruA- до ruA+</t>
  </si>
  <si>
    <t>Инвестиции в долговые ценные бумаги, оцениваемые по справедливой стоимости через прочий совокупный доход</t>
  </si>
  <si>
    <t>5</t>
  </si>
  <si>
    <t>Инвестиции в долговые ценные бумаги, оцениваемые по амортизированной стоимости</t>
  </si>
  <si>
    <t>6</t>
  </si>
  <si>
    <t>Доля активов, приносящих доход</t>
  </si>
  <si>
    <t>Работающие активы</t>
  </si>
  <si>
    <t>Всего активов</t>
  </si>
  <si>
    <t>Разница</t>
  </si>
  <si>
    <t>Долговые ценные бумаги оцениваемые по справедливой стоимости через прочий совокупный доход</t>
  </si>
  <si>
    <t>Долговые ценные бумаги оцениваемые по амортизированной стоимости</t>
  </si>
  <si>
    <t>Процентные доходы рассчитанные по методу эффективной процентной ставки</t>
  </si>
  <si>
    <t>Финансовые гарантии выданные</t>
  </si>
  <si>
    <t>Расчетные операции</t>
  </si>
  <si>
    <t>Вознаграждение по агентским договорам</t>
  </si>
  <si>
    <t>Кассовые операции</t>
  </si>
  <si>
    <t>Комиссионные за выполнение функций валютного контроля</t>
  </si>
  <si>
    <t>Операции с ценными бумагами</t>
  </si>
  <si>
    <t>Номер строки</t>
  </si>
  <si>
    <t>Структура пассивов, %</t>
  </si>
  <si>
    <t>Динамика обязательств</t>
  </si>
  <si>
    <t>ПАССИВЫ (млн руб)</t>
  </si>
  <si>
    <t>Обязательства по возврату проданного или перезаложенного обеспечения</t>
  </si>
  <si>
    <t>Выпущенные долговые ценные бумаги</t>
  </si>
  <si>
    <t>Субординированный долг</t>
  </si>
  <si>
    <t>Расшифровка №1</t>
  </si>
  <si>
    <t>Прочие финансовые обязательства:</t>
  </si>
  <si>
    <t>Обязательства по аренде</t>
  </si>
  <si>
    <t>Незавершенные расчеты</t>
  </si>
  <si>
    <t>Обязательства по программе лояльности</t>
  </si>
  <si>
    <t>Производные финансовые обязательства</t>
  </si>
  <si>
    <t>Кредиторская задолженность</t>
  </si>
  <si>
    <t>Расчеты с операторами услуг платежной инфраструктуры</t>
  </si>
  <si>
    <t xml:space="preserve">Итого прочие финансовые обязательства </t>
  </si>
  <si>
    <t>Расшифровка №2</t>
  </si>
  <si>
    <t>Прочие обязательства:</t>
  </si>
  <si>
    <t>Расчеты по выданным банковским гарантиям</t>
  </si>
  <si>
    <t>Начисленные затраты на вознаграждения работникам</t>
  </si>
  <si>
    <t>Налоги к уплате за исключением налога на прибыль</t>
  </si>
  <si>
    <t>Расчеты по социальному страхованию и обеспечению</t>
  </si>
  <si>
    <t>Резерв по условным обязательствам</t>
  </si>
  <si>
    <t xml:space="preserve">Итого прочие обязательства </t>
  </si>
  <si>
    <t>Структура привлеченных средств 
(депозитные и недепозитные источники)</t>
  </si>
  <si>
    <t xml:space="preserve">Доля от 
привлеченных средств </t>
  </si>
  <si>
    <t xml:space="preserve">Недепозитные источники </t>
  </si>
  <si>
    <t>1. Средства других банков</t>
  </si>
  <si>
    <t xml:space="preserve">Счета других банков </t>
  </si>
  <si>
    <t>Договоры продажи и обратного выкупа с другими банками</t>
  </si>
  <si>
    <t>Выпущенные долговые 
ценные бумаги</t>
  </si>
  <si>
    <t>Счета типа «Лоро»</t>
  </si>
  <si>
    <t>Средства физ. лиц</t>
  </si>
  <si>
    <t>Итого средства других банков</t>
  </si>
  <si>
    <t>Средства юр. лиц</t>
  </si>
  <si>
    <t>2. Выпущенные долговые
 ценные бумаги</t>
  </si>
  <si>
    <t xml:space="preserve">Депозитные источники </t>
  </si>
  <si>
    <t>1.Юридические лица</t>
  </si>
  <si>
    <t>﻿﻿Текущие/расчетные счета</t>
  </si>
  <si>
    <t>﻿﻿Срочные депозиты</t>
  </si>
  <si>
    <t>Итого средства юридических лиц</t>
  </si>
  <si>
    <t>2.Физические лица</t>
  </si>
  <si>
    <t>﻿﻿Текущие счета/счета до востребования</t>
  </si>
  <si>
    <t>﻿﻿Срочные вклады</t>
  </si>
  <si>
    <t>Итого средства физических лиц</t>
  </si>
  <si>
    <t>Итого депозитная база</t>
  </si>
  <si>
    <t>Итого привлеченных средств 
(депозитные и недепозитные источники)</t>
  </si>
  <si>
    <t>Анализ депозитной базы</t>
  </si>
  <si>
    <t>Доля от депозитной базы</t>
  </si>
  <si>
    <t xml:space="preserve">2024 г </t>
  </si>
  <si>
    <t xml:space="preserve">2023 г </t>
  </si>
  <si>
    <t xml:space="preserve">2022 г </t>
  </si>
  <si>
    <t>﻿Расчетные 
счета юр. лиц</t>
  </si>
  <si>
    <t>﻿﻿Срочные 
депозиты юр. лиц</t>
  </si>
  <si>
    <t>Текущие
 счета физ.лиц</t>
  </si>
  <si>
    <t>Срочные
 вклады физ. лиц</t>
  </si>
  <si>
    <t>Анализ зависимости банка от МБК</t>
  </si>
  <si>
    <t>Доля от об-в</t>
  </si>
  <si>
    <t>Доля от пассивов</t>
  </si>
  <si>
    <t xml:space="preserve">Обязательствва банка </t>
  </si>
  <si>
    <t xml:space="preserve">Пассивы банка </t>
  </si>
  <si>
    <t>Отчет о прибылях и убытках</t>
  </si>
  <si>
    <t>Процентные расходы рассчитанные по методу эффективной процентной ставки</t>
  </si>
  <si>
    <t>Доходы за вычетом расходов по операциям с финансовыми инструментами оцениваемыми по справедливой стоимости через прибыль или убыток</t>
  </si>
  <si>
    <t>Доходы за вычетом расходов по операциям с финансовыми активами оцениваемыми по справедливой стоимости через прочий совокупный доход</t>
  </si>
  <si>
    <t>Расходы за вычетом доходов от операций с финасовыми активами оцениваемыми по амортизированной стоимости</t>
  </si>
  <si>
    <t>ПРИБЫЛЬ ЗА ГОД/ПЕРИОД</t>
  </si>
  <si>
    <t>Прочий совокупный доход/убыток</t>
  </si>
  <si>
    <t>Статьи которые впоследствии могут быть переклассифицированы в состав прибылей или убытков</t>
  </si>
  <si>
    <t>Финансовый результат за период</t>
  </si>
  <si>
    <t>Финансовый результат перенесенный в прибыль или убыток в результате выбытия</t>
  </si>
  <si>
    <t>Налог на прибыль отраженный непосредственно в прочем совокупном доходе</t>
  </si>
  <si>
    <t>Статьи которые впоследствии не будут реклассифицированы в состав прибылей или убытков</t>
  </si>
  <si>
    <t>Финансовый результат от инвестиций в долевые ценные бумаги оцениваемые по справедливой стоимости через прочий совокупный доход</t>
  </si>
  <si>
    <t>Переоценка зданий</t>
  </si>
  <si>
    <t>ИТОГО ПРОЧИЙ СОВОКУПНЫЙ ДОХОД ЗА ГОД/ПЕРИОД</t>
  </si>
  <si>
    <t>Итого совокупный доход за год/период</t>
  </si>
  <si>
    <t>Детализация расходов и доходов</t>
  </si>
  <si>
    <t>CAGR, 2022-2024</t>
  </si>
  <si>
    <t>CAGR, 2020-2023</t>
  </si>
  <si>
    <t>Темпы прироста</t>
  </si>
  <si>
    <t>Дебиторская задолженность по лизинговым контрактам</t>
  </si>
  <si>
    <t>Текущие счета и депозиты юридических лиц</t>
  </si>
  <si>
    <t>Текущие счета и депозиты физических лиц</t>
  </si>
  <si>
    <t>Счета и депозиты банков</t>
  </si>
  <si>
    <t>Задолженность перед Минфином России</t>
  </si>
  <si>
    <t>Субсординированный долг</t>
  </si>
  <si>
    <t>Процентные расходы по обязательствам по аренде</t>
  </si>
  <si>
    <t>Операции с иностранной валютой на бирже</t>
  </si>
  <si>
    <t>Чистый комиссионный доход</t>
  </si>
  <si>
    <t>ДОХОДЫ</t>
  </si>
  <si>
    <t>Процентные доходы</t>
  </si>
  <si>
    <t>Доля процентных доходов</t>
  </si>
  <si>
    <t>Доля комиссионных доходов</t>
  </si>
  <si>
    <t>Прочие непроцентные доходы</t>
  </si>
  <si>
    <t>Доля прочих непроцентных доходов</t>
  </si>
  <si>
    <t>ИТОГО ДОХОДЫ</t>
  </si>
  <si>
    <t>РАСХОДЫ</t>
  </si>
  <si>
    <t>Процентные расходы</t>
  </si>
  <si>
    <t>Доля процентных расходов</t>
  </si>
  <si>
    <t>Доля комиссионных расходов</t>
  </si>
  <si>
    <t>Прочие непроцентные расходы</t>
  </si>
  <si>
    <t>Доля прочих непроцентных расходов</t>
  </si>
  <si>
    <t>Оценочный резерв</t>
  </si>
  <si>
    <t>Доля резерва по кредитным убыткам</t>
  </si>
  <si>
    <t>ИТОГО РАСХОДЫ</t>
  </si>
  <si>
    <t>ПРИБЫЛЬ</t>
  </si>
  <si>
    <t>Настя Кашурина</t>
  </si>
  <si>
    <t>Настя Пазникова</t>
  </si>
  <si>
    <t xml:space="preserve">Мельник </t>
  </si>
  <si>
    <t>Настя Масловская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</si>
</sst>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2">
    <font>
      <sz val="12"/>
      <color theme="1"/>
      <name val="Calibri"/>
      <family val="2"/>
      <charset val="204"/>
      <scheme val="minor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sz val="22"/>
      <color rgb="FF0C2B66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Helvetica"/>
      <family val="2"/>
      <charset val="204"/>
    </font>
    <font>
      <b/>
      <sz val="12"/>
      <color theme="1"/>
      <name val="Calibri"/>
      <family val="2"/>
      <scheme val="minor"/>
    </font>
    <font>
      <sz val="12"/>
      <color rgb="FF2B2E33"/>
      <name val="Arial"/>
      <family val="2"/>
    </font>
    <font>
      <b/>
      <sz val="12"/>
      <color rgb="FF2B2E33"/>
      <name val="Arial"/>
      <family val="2"/>
    </font>
    <font>
      <sz val="12"/>
      <color rgb="FF2B2E33"/>
      <name val="Calibri"/>
      <family val="2"/>
      <charset val="204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2"/>
      <color rgb="FF2B2E33"/>
      <name val="Arial"/>
      <family val="2"/>
      <charset val="204"/>
    </font>
    <font>
      <b/>
      <sz val="12"/>
      <color rgb="FF2B2E33"/>
      <name val="Calibri"/>
      <family val="2"/>
      <charset val="204"/>
      <scheme val="minor"/>
    </font>
    <font>
      <sz val="12"/>
      <color theme="1"/>
      <name val="Times New Roman"/>
      <family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2B2E33"/>
      <name val="Times New Roman"/>
      <family val="1"/>
    </font>
    <font>
      <b/>
      <sz val="12"/>
      <color rgb="FF2B2E33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</font>
    <font>
      <sz val="11"/>
      <color rgb="FF2B2E33"/>
      <name val="Arial"/>
      <family val="2"/>
    </font>
    <font>
      <sz val="12"/>
      <color theme="1"/>
      <name val="Helvetica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2"/>
      <color theme="1"/>
      <name val="Calibri"/>
      <family val="2"/>
      <charset val="204"/>
      <scheme val="minor"/>
    </font>
    <font>
      <sz val="10"/>
      <color theme="1"/>
      <name val="Helvetica Neue"/>
      <family val="2"/>
    </font>
    <font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9"/>
      <color theme="1"/>
      <name val="ArialMT"/>
      <charset val="1"/>
    </font>
    <font>
      <sz val="12"/>
      <color rgb="FF000000"/>
      <name val="Trebuchet MS"/>
      <family val="2"/>
    </font>
    <font>
      <sz val="12"/>
      <color theme="1"/>
      <name val="Trebuchet MS"/>
      <family val="2"/>
    </font>
    <font>
      <b/>
      <i/>
      <sz val="12"/>
      <color rgb="FF000000"/>
      <name val="Trebuchet MS"/>
      <family val="2"/>
    </font>
    <font>
      <i/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i/>
      <sz val="12"/>
      <color theme="1"/>
      <name val="Trebuchet MS"/>
      <family val="2"/>
    </font>
    <font>
      <sz val="11"/>
      <color rgb="FF242424"/>
      <name val="Aptos Narrow"/>
    </font>
    <font>
      <sz val="8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9"/>
      <color theme="1"/>
      <name val="CIDFont+F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Arial"/>
      <family val="2"/>
      <charset val="204"/>
    </font>
    <font>
      <sz val="12"/>
      <color theme="1"/>
      <name val="CIDFont+F2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3"/>
      <color rgb="FF000000"/>
      <name val="Calibri (Основной текст)"/>
      <charset val="204"/>
    </font>
    <font>
      <sz val="13"/>
      <color theme="1"/>
      <name val="Calibri (Основной текст)"/>
      <charset val="204"/>
    </font>
    <font>
      <sz val="13"/>
      <color rgb="FF000000"/>
      <name val="Calibri (Основной текст)"/>
      <charset val="204"/>
    </font>
    <font>
      <sz val="13"/>
      <color theme="1"/>
      <name val="Calibri"/>
      <family val="2"/>
      <scheme val="minor"/>
    </font>
    <font>
      <b/>
      <sz val="13"/>
      <color rgb="FF000000"/>
      <name val="Calibri"/>
      <family val="2"/>
      <charset val="204"/>
    </font>
    <font>
      <b/>
      <sz val="13"/>
      <color rgb="FF000000"/>
      <name val="Calibri"/>
      <family val="2"/>
    </font>
    <font>
      <b/>
      <sz val="12"/>
      <color rgb="FF1047FF"/>
      <name val="Calibri"/>
      <family val="2"/>
      <charset val="204"/>
      <scheme val="minor"/>
    </font>
    <font>
      <b/>
      <sz val="13"/>
      <color rgb="FF1047FF"/>
      <name val="Arial"/>
      <family val="2"/>
    </font>
    <font>
      <b/>
      <sz val="13"/>
      <color rgb="FF1047FF"/>
      <name val="Calibri"/>
      <family val="2"/>
      <scheme val="minor"/>
    </font>
    <font>
      <b/>
      <sz val="13"/>
      <color rgb="FF1047FF"/>
      <name val="Arial"/>
      <family val="2"/>
      <charset val="204"/>
    </font>
    <font>
      <b/>
      <sz val="13"/>
      <color rgb="FF1047FF"/>
      <name val="Calibri"/>
      <family val="2"/>
      <charset val="204"/>
      <scheme val="minor"/>
    </font>
    <font>
      <sz val="13"/>
      <color theme="1"/>
      <name val="CIDFont+F2"/>
    </font>
    <font>
      <sz val="13"/>
      <color theme="1"/>
      <name val="Calibri"/>
      <family val="2"/>
      <charset val="204"/>
      <scheme val="minor"/>
    </font>
    <font>
      <sz val="12"/>
      <color theme="1"/>
      <name val="CIDFont+F1"/>
    </font>
    <font>
      <b/>
      <sz val="12"/>
      <color rgb="FF1047FF"/>
      <name val="Calibri"/>
      <family val="2"/>
      <scheme val="minor"/>
    </font>
    <font>
      <sz val="12"/>
      <color rgb="FF1047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2F75B5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0" xfId="0" applyFont="1" applyFill="1"/>
    <xf numFmtId="0" fontId="3" fillId="0" borderId="0" xfId="0" applyFont="1"/>
    <xf numFmtId="2" fontId="0" fillId="0" borderId="0" xfId="0" applyNumberForma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10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/>
    <xf numFmtId="3" fontId="1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10" fontId="0" fillId="0" borderId="1" xfId="0" applyNumberFormat="1" applyBorder="1"/>
    <xf numFmtId="0" fontId="7" fillId="0" borderId="0" xfId="0" applyFont="1"/>
    <xf numFmtId="10" fontId="9" fillId="0" borderId="1" xfId="0" applyNumberFormat="1" applyFont="1" applyBorder="1"/>
    <xf numFmtId="0" fontId="7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0" fillId="5" borderId="1" xfId="0" applyFill="1" applyBorder="1"/>
    <xf numFmtId="49" fontId="8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1" fillId="0" borderId="0" xfId="0" quotePrefix="1" applyFont="1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/>
    </xf>
    <xf numFmtId="10" fontId="14" fillId="0" borderId="1" xfId="0" applyNumberFormat="1" applyFont="1" applyBorder="1"/>
    <xf numFmtId="10" fontId="4" fillId="0" borderId="1" xfId="0" applyNumberFormat="1" applyFont="1" applyBorder="1"/>
    <xf numFmtId="10" fontId="15" fillId="0" borderId="1" xfId="0" applyNumberFormat="1" applyFont="1" applyBorder="1"/>
    <xf numFmtId="3" fontId="14" fillId="2" borderId="1" xfId="0" applyNumberFormat="1" applyFont="1" applyFill="1" applyBorder="1"/>
    <xf numFmtId="0" fontId="4" fillId="0" borderId="0" xfId="0" applyFont="1"/>
    <xf numFmtId="0" fontId="4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" fillId="2" borderId="1" xfId="0" applyFont="1" applyFill="1" applyBorder="1"/>
    <xf numFmtId="3" fontId="1" fillId="0" borderId="1" xfId="0" applyNumberFormat="1" applyFont="1" applyBorder="1" applyAlignment="1">
      <alignment horizontal="center"/>
    </xf>
    <xf numFmtId="0" fontId="6" fillId="0" borderId="1" xfId="0" applyFont="1" applyBorder="1"/>
    <xf numFmtId="10" fontId="7" fillId="0" borderId="1" xfId="0" applyNumberFormat="1" applyFont="1" applyBorder="1"/>
    <xf numFmtId="3" fontId="7" fillId="2" borderId="1" xfId="0" applyNumberFormat="1" applyFont="1" applyFill="1" applyBorder="1"/>
    <xf numFmtId="49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/>
    <xf numFmtId="49" fontId="7" fillId="0" borderId="1" xfId="0" applyNumberFormat="1" applyFont="1" applyBorder="1"/>
    <xf numFmtId="3" fontId="7" fillId="0" borderId="1" xfId="0" applyNumberFormat="1" applyFont="1" applyBorder="1"/>
    <xf numFmtId="49" fontId="7" fillId="0" borderId="0" xfId="0" applyNumberFormat="1" applyFont="1"/>
    <xf numFmtId="3" fontId="7" fillId="0" borderId="0" xfId="0" applyNumberFormat="1" applyFont="1"/>
    <xf numFmtId="0" fontId="7" fillId="0" borderId="0" xfId="0" applyFont="1" applyAlignment="1">
      <alignment wrapText="1"/>
    </xf>
    <xf numFmtId="16" fontId="7" fillId="0" borderId="0" xfId="0" applyNumberFormat="1" applyFont="1"/>
    <xf numFmtId="0" fontId="4" fillId="0" borderId="1" xfId="0" applyFont="1" applyBorder="1"/>
    <xf numFmtId="0" fontId="16" fillId="0" borderId="0" xfId="0" applyFont="1"/>
    <xf numFmtId="0" fontId="16" fillId="0" borderId="5" xfId="0" applyFont="1" applyBorder="1"/>
    <xf numFmtId="0" fontId="8" fillId="0" borderId="0" xfId="0" applyFont="1" applyAlignment="1">
      <alignment horizontal="right" wrapText="1"/>
    </xf>
    <xf numFmtId="0" fontId="17" fillId="0" borderId="0" xfId="0" applyFont="1" applyAlignment="1">
      <alignment wrapText="1"/>
    </xf>
    <xf numFmtId="0" fontId="20" fillId="7" borderId="1" xfId="0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14" fontId="20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4" fontId="21" fillId="7" borderId="1" xfId="0" applyNumberFormat="1" applyFont="1" applyFill="1" applyBorder="1" applyAlignment="1">
      <alignment horizontal="center" vertical="center" wrapText="1"/>
    </xf>
    <xf numFmtId="14" fontId="20" fillId="7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/>
    </xf>
    <xf numFmtId="14" fontId="22" fillId="7" borderId="1" xfId="0" applyNumberFormat="1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wrapText="1"/>
    </xf>
    <xf numFmtId="0" fontId="16" fillId="0" borderId="6" xfId="0" applyFont="1" applyBorder="1"/>
    <xf numFmtId="0" fontId="16" fillId="2" borderId="5" xfId="0" applyFont="1" applyFill="1" applyBorder="1"/>
    <xf numFmtId="3" fontId="16" fillId="2" borderId="5" xfId="0" applyNumberFormat="1" applyFont="1" applyFill="1" applyBorder="1"/>
    <xf numFmtId="0" fontId="16" fillId="2" borderId="6" xfId="0" applyFont="1" applyFill="1" applyBorder="1"/>
    <xf numFmtId="0" fontId="22" fillId="5" borderId="11" xfId="0" applyFont="1" applyFill="1" applyBorder="1" applyAlignment="1">
      <alignment horizontal="center"/>
    </xf>
    <xf numFmtId="3" fontId="22" fillId="2" borderId="12" xfId="0" applyNumberFormat="1" applyFont="1" applyFill="1" applyBorder="1"/>
    <xf numFmtId="0" fontId="16" fillId="2" borderId="10" xfId="0" applyFont="1" applyFill="1" applyBorder="1"/>
    <xf numFmtId="0" fontId="19" fillId="0" borderId="1" xfId="0" applyFont="1" applyBorder="1" applyAlignment="1">
      <alignment wrapText="1"/>
    </xf>
    <xf numFmtId="0" fontId="17" fillId="0" borderId="1" xfId="0" applyFont="1" applyBorder="1"/>
    <xf numFmtId="3" fontId="23" fillId="0" borderId="1" xfId="0" applyNumberFormat="1" applyFont="1" applyBorder="1"/>
    <xf numFmtId="0" fontId="23" fillId="0" borderId="1" xfId="0" applyFont="1" applyBorder="1"/>
    <xf numFmtId="3" fontId="24" fillId="0" borderId="1" xfId="0" applyNumberFormat="1" applyFont="1" applyBorder="1"/>
    <xf numFmtId="0" fontId="16" fillId="0" borderId="6" xfId="0" applyFont="1" applyBorder="1" applyAlignment="1">
      <alignment wrapText="1"/>
    </xf>
    <xf numFmtId="0" fontId="22" fillId="2" borderId="6" xfId="0" applyFont="1" applyFill="1" applyBorder="1"/>
    <xf numFmtId="0" fontId="16" fillId="2" borderId="13" xfId="0" applyFont="1" applyFill="1" applyBorder="1"/>
    <xf numFmtId="3" fontId="16" fillId="2" borderId="6" xfId="0" applyNumberFormat="1" applyFont="1" applyFill="1" applyBorder="1"/>
    <xf numFmtId="3" fontId="22" fillId="2" borderId="6" xfId="0" applyNumberFormat="1" applyFont="1" applyFill="1" applyBorder="1"/>
    <xf numFmtId="10" fontId="16" fillId="0" borderId="10" xfId="0" applyNumberFormat="1" applyFont="1" applyBorder="1"/>
    <xf numFmtId="0" fontId="16" fillId="0" borderId="10" xfId="0" applyFont="1" applyBorder="1"/>
    <xf numFmtId="0" fontId="16" fillId="2" borderId="6" xfId="0" applyFont="1" applyFill="1" applyBorder="1" applyAlignment="1">
      <alignment horizontal="right"/>
    </xf>
    <xf numFmtId="10" fontId="16" fillId="0" borderId="10" xfId="0" applyNumberFormat="1" applyFont="1" applyBorder="1" applyAlignment="1">
      <alignment horizontal="right"/>
    </xf>
    <xf numFmtId="3" fontId="16" fillId="2" borderId="5" xfId="0" applyNumberFormat="1" applyFont="1" applyFill="1" applyBorder="1" applyAlignment="1">
      <alignment horizontal="center"/>
    </xf>
    <xf numFmtId="10" fontId="20" fillId="0" borderId="1" xfId="0" applyNumberFormat="1" applyFont="1" applyBorder="1"/>
    <xf numFmtId="0" fontId="16" fillId="2" borderId="5" xfId="0" applyFont="1" applyFill="1" applyBorder="1" applyAlignment="1">
      <alignment horizontal="center"/>
    </xf>
    <xf numFmtId="10" fontId="20" fillId="0" borderId="1" xfId="0" applyNumberFormat="1" applyFont="1" applyBorder="1" applyAlignment="1">
      <alignment horizontal="right"/>
    </xf>
    <xf numFmtId="3" fontId="22" fillId="2" borderId="5" xfId="0" applyNumberFormat="1" applyFont="1" applyFill="1" applyBorder="1" applyAlignment="1">
      <alignment horizontal="center"/>
    </xf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0" fontId="26" fillId="0" borderId="1" xfId="0" applyNumberFormat="1" applyFont="1" applyBorder="1" applyAlignment="1">
      <alignment horizontal="right"/>
    </xf>
    <xf numFmtId="10" fontId="0" fillId="0" borderId="1" xfId="0" applyNumberFormat="1" applyBorder="1" applyAlignment="1">
      <alignment horizontal="right"/>
    </xf>
    <xf numFmtId="3" fontId="26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1" xfId="0" applyNumberFormat="1" applyBorder="1"/>
    <xf numFmtId="3" fontId="18" fillId="0" borderId="1" xfId="0" applyNumberFormat="1" applyFont="1" applyBorder="1"/>
    <xf numFmtId="0" fontId="8" fillId="8" borderId="0" xfId="0" applyFont="1" applyFill="1" applyAlignment="1">
      <alignment horizontal="right" wrapText="1"/>
    </xf>
    <xf numFmtId="0" fontId="27" fillId="11" borderId="0" xfId="0" applyFont="1" applyFill="1"/>
    <xf numFmtId="0" fontId="0" fillId="12" borderId="0" xfId="0" applyFill="1"/>
    <xf numFmtId="0" fontId="10" fillId="0" borderId="14" xfId="0" applyFont="1" applyBorder="1"/>
    <xf numFmtId="0" fontId="12" fillId="12" borderId="15" xfId="0" applyFont="1" applyFill="1" applyBorder="1"/>
    <xf numFmtId="0" fontId="23" fillId="0" borderId="14" xfId="0" applyFont="1" applyBorder="1" applyAlignment="1">
      <alignment horizontal="left" indent="1"/>
    </xf>
    <xf numFmtId="0" fontId="0" fillId="12" borderId="15" xfId="0" applyFill="1" applyBorder="1"/>
    <xf numFmtId="0" fontId="12" fillId="0" borderId="0" xfId="0" quotePrefix="1" applyFont="1"/>
    <xf numFmtId="0" fontId="28" fillId="12" borderId="14" xfId="0" applyFont="1" applyFill="1" applyBorder="1"/>
    <xf numFmtId="0" fontId="29" fillId="12" borderId="0" xfId="0" applyFont="1" applyFill="1"/>
    <xf numFmtId="0" fontId="29" fillId="12" borderId="15" xfId="0" applyFont="1" applyFill="1" applyBorder="1"/>
    <xf numFmtId="0" fontId="4" fillId="0" borderId="16" xfId="0" applyFont="1" applyBorder="1"/>
    <xf numFmtId="0" fontId="4" fillId="0" borderId="17" xfId="0" applyFont="1" applyBorder="1"/>
    <xf numFmtId="0" fontId="4" fillId="12" borderId="18" xfId="0" applyFont="1" applyFill="1" applyBorder="1"/>
    <xf numFmtId="10" fontId="4" fillId="0" borderId="14" xfId="0" applyNumberFormat="1" applyFont="1" applyBorder="1"/>
    <xf numFmtId="10" fontId="4" fillId="12" borderId="15" xfId="0" applyNumberFormat="1" applyFont="1" applyFill="1" applyBorder="1"/>
    <xf numFmtId="10" fontId="0" fillId="0" borderId="14" xfId="0" applyNumberFormat="1" applyBorder="1"/>
    <xf numFmtId="10" fontId="0" fillId="12" borderId="15" xfId="0" applyNumberFormat="1" applyFill="1" applyBorder="1"/>
    <xf numFmtId="10" fontId="0" fillId="12" borderId="14" xfId="0" applyNumberFormat="1" applyFill="1" applyBorder="1"/>
    <xf numFmtId="10" fontId="4" fillId="0" borderId="16" xfId="0" applyNumberFormat="1" applyFont="1" applyBorder="1"/>
    <xf numFmtId="10" fontId="4" fillId="0" borderId="17" xfId="0" applyNumberFormat="1" applyFont="1" applyBorder="1"/>
    <xf numFmtId="10" fontId="4" fillId="12" borderId="18" xfId="0" applyNumberFormat="1" applyFont="1" applyFill="1" applyBorder="1"/>
    <xf numFmtId="0" fontId="12" fillId="0" borderId="19" xfId="0" applyFont="1" applyBorder="1"/>
    <xf numFmtId="0" fontId="12" fillId="0" borderId="20" xfId="0" applyFont="1" applyBorder="1"/>
    <xf numFmtId="0" fontId="12" fillId="12" borderId="21" xfId="0" applyFont="1" applyFill="1" applyBorder="1"/>
    <xf numFmtId="0" fontId="11" fillId="0" borderId="22" xfId="0" applyFont="1" applyBorder="1"/>
    <xf numFmtId="0" fontId="11" fillId="0" borderId="23" xfId="0" applyFont="1" applyBorder="1"/>
    <xf numFmtId="0" fontId="11" fillId="0" borderId="23" xfId="0" quotePrefix="1" applyFont="1" applyBorder="1"/>
    <xf numFmtId="0" fontId="11" fillId="0" borderId="24" xfId="0" applyFont="1" applyBorder="1"/>
    <xf numFmtId="0" fontId="11" fillId="0" borderId="14" xfId="0" applyFont="1" applyBorder="1"/>
    <xf numFmtId="0" fontId="11" fillId="0" borderId="15" xfId="0" applyFont="1" applyBorder="1"/>
    <xf numFmtId="0" fontId="11" fillId="0" borderId="15" xfId="0" quotePrefix="1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16" xfId="0" applyFont="1" applyBorder="1"/>
    <xf numFmtId="0" fontId="12" fillId="0" borderId="17" xfId="0" applyFont="1" applyBorder="1"/>
    <xf numFmtId="0" fontId="12" fillId="0" borderId="18" xfId="0" applyFont="1" applyBorder="1"/>
    <xf numFmtId="0" fontId="13" fillId="0" borderId="14" xfId="0" applyFont="1" applyBorder="1"/>
    <xf numFmtId="0" fontId="13" fillId="0" borderId="0" xfId="0" applyFont="1"/>
    <xf numFmtId="0" fontId="13" fillId="0" borderId="15" xfId="0" applyFont="1" applyBorder="1"/>
    <xf numFmtId="10" fontId="30" fillId="0" borderId="0" xfId="0" applyNumberFormat="1" applyFont="1"/>
    <xf numFmtId="0" fontId="30" fillId="0" borderId="0" xfId="0" applyFont="1" applyAlignment="1">
      <alignment horizontal="left" indent="1"/>
    </xf>
    <xf numFmtId="0" fontId="4" fillId="11" borderId="0" xfId="0" applyFont="1" applyFill="1"/>
    <xf numFmtId="10" fontId="4" fillId="0" borderId="0" xfId="0" applyNumberFormat="1" applyFont="1"/>
    <xf numFmtId="10" fontId="4" fillId="9" borderId="0" xfId="0" applyNumberFormat="1" applyFont="1" applyFill="1"/>
    <xf numFmtId="10" fontId="0" fillId="9" borderId="0" xfId="0" applyNumberFormat="1" applyFill="1"/>
    <xf numFmtId="10" fontId="0" fillId="12" borderId="0" xfId="0" applyNumberFormat="1" applyFill="1"/>
    <xf numFmtId="10" fontId="4" fillId="10" borderId="0" xfId="0" applyNumberFormat="1" applyFont="1" applyFill="1"/>
    <xf numFmtId="10" fontId="0" fillId="10" borderId="0" xfId="0" applyNumberFormat="1" applyFill="1"/>
    <xf numFmtId="0" fontId="4" fillId="0" borderId="22" xfId="0" applyFont="1" applyBorder="1"/>
    <xf numFmtId="0" fontId="4" fillId="0" borderId="23" xfId="0" applyFont="1" applyBorder="1"/>
    <xf numFmtId="0" fontId="4" fillId="12" borderId="24" xfId="0" applyFont="1" applyFill="1" applyBorder="1"/>
    <xf numFmtId="10" fontId="4" fillId="0" borderId="22" xfId="0" applyNumberFormat="1" applyFont="1" applyBorder="1"/>
    <xf numFmtId="10" fontId="4" fillId="0" borderId="23" xfId="0" applyNumberFormat="1" applyFont="1" applyBorder="1"/>
    <xf numFmtId="10" fontId="4" fillId="9" borderId="23" xfId="0" applyNumberFormat="1" applyFont="1" applyFill="1" applyBorder="1"/>
    <xf numFmtId="10" fontId="4" fillId="12" borderId="24" xfId="0" applyNumberFormat="1" applyFont="1" applyFill="1" applyBorder="1"/>
    <xf numFmtId="0" fontId="31" fillId="0" borderId="0" xfId="0" applyFont="1"/>
    <xf numFmtId="0" fontId="22" fillId="0" borderId="5" xfId="0" applyFont="1" applyBorder="1"/>
    <xf numFmtId="3" fontId="22" fillId="0" borderId="5" xfId="0" applyNumberFormat="1" applyFont="1" applyBorder="1"/>
    <xf numFmtId="0" fontId="22" fillId="0" borderId="12" xfId="0" applyFont="1" applyBorder="1" applyAlignment="1">
      <alignment wrapText="1"/>
    </xf>
    <xf numFmtId="14" fontId="22" fillId="4" borderId="12" xfId="0" applyNumberFormat="1" applyFont="1" applyFill="1" applyBorder="1" applyAlignment="1">
      <alignment horizontal="center"/>
    </xf>
    <xf numFmtId="14" fontId="21" fillId="7" borderId="12" xfId="0" applyNumberFormat="1" applyFont="1" applyFill="1" applyBorder="1" applyAlignment="1">
      <alignment horizontal="center" vertical="center" wrapText="1"/>
    </xf>
    <xf numFmtId="3" fontId="22" fillId="7" borderId="5" xfId="0" applyNumberFormat="1" applyFont="1" applyFill="1" applyBorder="1" applyAlignment="1">
      <alignment horizontal="center" vertical="center"/>
    </xf>
    <xf numFmtId="3" fontId="16" fillId="0" borderId="5" xfId="0" applyNumberFormat="1" applyFont="1" applyBorder="1"/>
    <xf numFmtId="3" fontId="22" fillId="0" borderId="6" xfId="0" applyNumberFormat="1" applyFont="1" applyBorder="1"/>
    <xf numFmtId="0" fontId="16" fillId="13" borderId="5" xfId="0" applyFont="1" applyFill="1" applyBorder="1"/>
    <xf numFmtId="0" fontId="22" fillId="2" borderId="5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vertical="center"/>
    </xf>
    <xf numFmtId="10" fontId="22" fillId="13" borderId="5" xfId="0" applyNumberFormat="1" applyFont="1" applyFill="1" applyBorder="1" applyAlignment="1">
      <alignment horizontal="center" vertical="center"/>
    </xf>
    <xf numFmtId="10" fontId="36" fillId="0" borderId="5" xfId="0" applyNumberFormat="1" applyFont="1" applyBorder="1" applyAlignment="1">
      <alignment vertical="center"/>
    </xf>
    <xf numFmtId="0" fontId="36" fillId="0" borderId="5" xfId="0" applyFont="1" applyBorder="1" applyAlignment="1">
      <alignment vertical="center"/>
    </xf>
    <xf numFmtId="3" fontId="39" fillId="0" borderId="5" xfId="0" applyNumberFormat="1" applyFont="1" applyBorder="1" applyAlignment="1">
      <alignment vertical="center"/>
    </xf>
    <xf numFmtId="10" fontId="39" fillId="0" borderId="5" xfId="0" applyNumberFormat="1" applyFont="1" applyBorder="1" applyAlignment="1">
      <alignment vertical="center"/>
    </xf>
    <xf numFmtId="0" fontId="36" fillId="2" borderId="5" xfId="0" applyFont="1" applyFill="1" applyBorder="1" applyAlignment="1">
      <alignment vertical="center"/>
    </xf>
    <xf numFmtId="10" fontId="39" fillId="2" borderId="5" xfId="0" applyNumberFormat="1" applyFont="1" applyFill="1" applyBorder="1" applyAlignment="1">
      <alignment vertical="center"/>
    </xf>
    <xf numFmtId="10" fontId="36" fillId="2" borderId="5" xfId="0" applyNumberFormat="1" applyFont="1" applyFill="1" applyBorder="1" applyAlignment="1">
      <alignment vertical="center"/>
    </xf>
    <xf numFmtId="3" fontId="39" fillId="2" borderId="5" xfId="0" applyNumberFormat="1" applyFont="1" applyFill="1" applyBorder="1" applyAlignment="1">
      <alignment vertical="center"/>
    </xf>
    <xf numFmtId="3" fontId="35" fillId="0" borderId="5" xfId="0" applyNumberFormat="1" applyFont="1" applyBorder="1" applyAlignment="1">
      <alignment vertical="center" wrapText="1"/>
    </xf>
    <xf numFmtId="3" fontId="35" fillId="0" borderId="5" xfId="0" applyNumberFormat="1" applyFont="1" applyBorder="1" applyAlignment="1">
      <alignment vertical="center"/>
    </xf>
    <xf numFmtId="0" fontId="22" fillId="7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 wrapText="1"/>
    </xf>
    <xf numFmtId="3" fontId="32" fillId="0" borderId="5" xfId="0" applyNumberFormat="1" applyFont="1" applyBorder="1" applyAlignment="1">
      <alignment horizontal="center" vertical="center"/>
    </xf>
    <xf numFmtId="3" fontId="32" fillId="0" borderId="5" xfId="0" applyNumberFormat="1" applyFont="1" applyBorder="1" applyAlignment="1">
      <alignment horizontal="center" vertical="center" wrapText="1"/>
    </xf>
    <xf numFmtId="10" fontId="16" fillId="0" borderId="6" xfId="0" applyNumberFormat="1" applyFont="1" applyBorder="1" applyAlignment="1">
      <alignment horizontal="center" vertical="center"/>
    </xf>
    <xf numFmtId="10" fontId="22" fillId="0" borderId="6" xfId="0" applyNumberFormat="1" applyFont="1" applyBorder="1" applyAlignment="1">
      <alignment horizontal="center" vertical="center"/>
    </xf>
    <xf numFmtId="10" fontId="16" fillId="2" borderId="6" xfId="0" applyNumberFormat="1" applyFont="1" applyFill="1" applyBorder="1" applyAlignment="1">
      <alignment horizontal="center" vertical="center"/>
    </xf>
    <xf numFmtId="3" fontId="36" fillId="0" borderId="5" xfId="0" applyNumberFormat="1" applyFont="1" applyBorder="1" applyAlignment="1">
      <alignment vertical="center"/>
    </xf>
    <xf numFmtId="0" fontId="39" fillId="0" borderId="5" xfId="0" applyFont="1" applyBorder="1" applyAlignment="1">
      <alignment vertical="center"/>
    </xf>
    <xf numFmtId="14" fontId="16" fillId="13" borderId="5" xfId="0" applyNumberFormat="1" applyFont="1" applyFill="1" applyBorder="1" applyAlignment="1">
      <alignment horizontal="center" vertical="center"/>
    </xf>
    <xf numFmtId="0" fontId="16" fillId="13" borderId="5" xfId="0" applyFont="1" applyFill="1" applyBorder="1" applyAlignment="1">
      <alignment horizontal="center" vertical="center"/>
    </xf>
    <xf numFmtId="3" fontId="34" fillId="0" borderId="6" xfId="0" applyNumberFormat="1" applyFont="1" applyBorder="1"/>
    <xf numFmtId="3" fontId="41" fillId="0" borderId="6" xfId="0" applyNumberFormat="1" applyFont="1" applyBorder="1"/>
    <xf numFmtId="3" fontId="0" fillId="0" borderId="5" xfId="0" applyNumberFormat="1" applyBorder="1"/>
    <xf numFmtId="3" fontId="16" fillId="0" borderId="0" xfId="0" applyNumberFormat="1" applyFont="1"/>
    <xf numFmtId="0" fontId="16" fillId="0" borderId="0" xfId="0" applyFont="1" applyAlignment="1">
      <alignment wrapText="1"/>
    </xf>
    <xf numFmtId="14" fontId="16" fillId="0" borderId="0" xfId="0" applyNumberFormat="1" applyFont="1"/>
    <xf numFmtId="14" fontId="16" fillId="0" borderId="5" xfId="0" applyNumberFormat="1" applyFont="1" applyBorder="1"/>
    <xf numFmtId="10" fontId="16" fillId="0" borderId="5" xfId="0" applyNumberFormat="1" applyFont="1" applyBorder="1" applyAlignment="1">
      <alignment horizontal="center" vertical="center" wrapText="1"/>
    </xf>
    <xf numFmtId="10" fontId="16" fillId="0" borderId="5" xfId="0" applyNumberFormat="1" applyFon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4" fillId="0" borderId="5" xfId="0" applyFont="1" applyBorder="1"/>
    <xf numFmtId="14" fontId="16" fillId="2" borderId="5" xfId="0" applyNumberFormat="1" applyFont="1" applyFill="1" applyBorder="1"/>
    <xf numFmtId="10" fontId="16" fillId="2" borderId="5" xfId="0" applyNumberFormat="1" applyFont="1" applyFill="1" applyBorder="1" applyAlignment="1">
      <alignment horizontal="center" vertical="center"/>
    </xf>
    <xf numFmtId="10" fontId="0" fillId="2" borderId="5" xfId="0" applyNumberFormat="1" applyFill="1" applyBorder="1" applyAlignment="1">
      <alignment horizontal="center" vertical="center"/>
    </xf>
    <xf numFmtId="3" fontId="0" fillId="0" borderId="0" xfId="0" applyNumberFormat="1"/>
    <xf numFmtId="3" fontId="23" fillId="0" borderId="0" xfId="0" applyNumberFormat="1" applyFont="1"/>
    <xf numFmtId="0" fontId="23" fillId="0" borderId="0" xfId="0" applyFont="1"/>
    <xf numFmtId="0" fontId="19" fillId="0" borderId="0" xfId="0" applyFont="1" applyAlignment="1">
      <alignment wrapText="1"/>
    </xf>
    <xf numFmtId="3" fontId="25" fillId="0" borderId="0" xfId="0" applyNumberFormat="1" applyFont="1"/>
    <xf numFmtId="0" fontId="25" fillId="0" borderId="0" xfId="0" applyFont="1"/>
    <xf numFmtId="3" fontId="45" fillId="0" borderId="1" xfId="0" applyNumberFormat="1" applyFont="1" applyBorder="1"/>
    <xf numFmtId="0" fontId="48" fillId="0" borderId="1" xfId="0" applyFont="1" applyBorder="1"/>
    <xf numFmtId="0" fontId="49" fillId="0" borderId="1" xfId="0" applyFont="1" applyBorder="1"/>
    <xf numFmtId="3" fontId="48" fillId="0" borderId="1" xfId="0" applyNumberFormat="1" applyFont="1" applyBorder="1"/>
    <xf numFmtId="3" fontId="49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8" borderId="0" xfId="0" applyNumberFormat="1" applyFont="1" applyFill="1" applyAlignment="1">
      <alignment horizontal="right" wrapText="1"/>
    </xf>
    <xf numFmtId="0" fontId="6" fillId="0" borderId="0" xfId="0" applyFont="1"/>
    <xf numFmtId="0" fontId="50" fillId="0" borderId="0" xfId="0" applyFont="1" applyAlignment="1">
      <alignment horizontal="left" indent="1"/>
    </xf>
    <xf numFmtId="0" fontId="10" fillId="0" borderId="0" xfId="0" applyFont="1"/>
    <xf numFmtId="0" fontId="51" fillId="0" borderId="0" xfId="0" applyFont="1"/>
    <xf numFmtId="0" fontId="52" fillId="0" borderId="0" xfId="0" applyFont="1"/>
    <xf numFmtId="49" fontId="8" fillId="0" borderId="0" xfId="0" applyNumberFormat="1" applyFont="1" applyAlignment="1">
      <alignment horizontal="right" wrapText="1"/>
    </xf>
    <xf numFmtId="0" fontId="12" fillId="0" borderId="1" xfId="0" applyFont="1" applyBorder="1"/>
    <xf numFmtId="0" fontId="53" fillId="0" borderId="1" xfId="0" applyFont="1" applyBorder="1"/>
    <xf numFmtId="0" fontId="54" fillId="0" borderId="1" xfId="0" applyFont="1" applyBorder="1"/>
    <xf numFmtId="0" fontId="54" fillId="0" borderId="1" xfId="0" applyFont="1" applyBorder="1" applyAlignment="1">
      <alignment wrapText="1"/>
    </xf>
    <xf numFmtId="0" fontId="54" fillId="0" borderId="1" xfId="0" applyFont="1" applyBorder="1" applyAlignment="1">
      <alignment horizontal="left" wrapText="1"/>
    </xf>
    <xf numFmtId="0" fontId="55" fillId="0" borderId="1" xfId="0" applyFont="1" applyBorder="1" applyAlignment="1">
      <alignment wrapText="1"/>
    </xf>
    <xf numFmtId="0" fontId="53" fillId="0" borderId="1" xfId="0" applyFont="1" applyBorder="1" applyAlignment="1">
      <alignment wrapText="1"/>
    </xf>
    <xf numFmtId="0" fontId="56" fillId="0" borderId="1" xfId="0" applyFont="1" applyBorder="1"/>
    <xf numFmtId="0" fontId="57" fillId="0" borderId="1" xfId="0" applyFont="1" applyBorder="1"/>
    <xf numFmtId="0" fontId="58" fillId="0" borderId="1" xfId="0" applyFont="1" applyBorder="1"/>
    <xf numFmtId="10" fontId="59" fillId="0" borderId="1" xfId="0" applyNumberFormat="1" applyFont="1" applyBorder="1"/>
    <xf numFmtId="10" fontId="23" fillId="0" borderId="1" xfId="0" applyNumberFormat="1" applyFont="1" applyBorder="1"/>
    <xf numFmtId="0" fontId="50" fillId="0" borderId="1" xfId="0" applyFont="1" applyBorder="1"/>
    <xf numFmtId="0" fontId="4" fillId="0" borderId="1" xfId="0" applyFont="1" applyBorder="1" applyAlignment="1">
      <alignment horizontal="center"/>
    </xf>
    <xf numFmtId="0" fontId="50" fillId="0" borderId="0" xfId="0" applyFont="1"/>
    <xf numFmtId="0" fontId="6" fillId="0" borderId="1" xfId="0" applyFont="1" applyBorder="1" applyAlignment="1">
      <alignment horizontal="center" wrapText="1"/>
    </xf>
    <xf numFmtId="0" fontId="60" fillId="0" borderId="1" xfId="0" applyFont="1" applyBorder="1" applyAlignment="1">
      <alignment wrapText="1"/>
    </xf>
    <xf numFmtId="10" fontId="61" fillId="0" borderId="1" xfId="0" applyNumberFormat="1" applyFont="1" applyBorder="1"/>
    <xf numFmtId="0" fontId="62" fillId="0" borderId="1" xfId="0" applyFont="1" applyBorder="1" applyAlignment="1">
      <alignment vertical="center"/>
    </xf>
    <xf numFmtId="10" fontId="63" fillId="0" borderId="1" xfId="0" applyNumberFormat="1" applyFont="1" applyBorder="1"/>
    <xf numFmtId="0" fontId="65" fillId="0" borderId="1" xfId="0" applyFont="1" applyBorder="1"/>
    <xf numFmtId="3" fontId="64" fillId="0" borderId="1" xfId="0" applyNumberFormat="1" applyFont="1" applyBorder="1"/>
    <xf numFmtId="0" fontId="64" fillId="0" borderId="1" xfId="0" applyFont="1" applyBorder="1"/>
    <xf numFmtId="0" fontId="6" fillId="8" borderId="0" xfId="0" applyFont="1" applyFill="1" applyAlignment="1">
      <alignment horizontal="right" wrapText="1"/>
    </xf>
    <xf numFmtId="3" fontId="50" fillId="0" borderId="1" xfId="0" applyNumberFormat="1" applyFont="1" applyBorder="1"/>
    <xf numFmtId="3" fontId="8" fillId="0" borderId="1" xfId="0" applyNumberFormat="1" applyFont="1" applyBorder="1" applyAlignment="1">
      <alignment horizontal="center" vertical="center"/>
    </xf>
    <xf numFmtId="3" fontId="66" fillId="0" borderId="1" xfId="0" applyNumberFormat="1" applyFont="1" applyBorder="1"/>
    <xf numFmtId="3" fontId="47" fillId="0" borderId="1" xfId="0" applyNumberFormat="1" applyFont="1" applyBorder="1"/>
    <xf numFmtId="0" fontId="7" fillId="0" borderId="1" xfId="0" applyFont="1" applyBorder="1"/>
    <xf numFmtId="0" fontId="66" fillId="0" borderId="1" xfId="0" applyFont="1" applyBorder="1"/>
    <xf numFmtId="0" fontId="44" fillId="0" borderId="1" xfId="0" applyFont="1" applyBorder="1" applyAlignment="1">
      <alignment wrapText="1"/>
    </xf>
    <xf numFmtId="0" fontId="67" fillId="0" borderId="1" xfId="0" applyFont="1" applyBorder="1"/>
    <xf numFmtId="10" fontId="68" fillId="0" borderId="1" xfId="0" applyNumberFormat="1" applyFont="1" applyBorder="1"/>
    <xf numFmtId="3" fontId="46" fillId="0" borderId="1" xfId="0" applyNumberFormat="1" applyFont="1" applyBorder="1"/>
    <xf numFmtId="0" fontId="0" fillId="0" borderId="32" xfId="0" applyBorder="1"/>
    <xf numFmtId="0" fontId="0" fillId="0" borderId="33" xfId="0" applyBorder="1"/>
    <xf numFmtId="0" fontId="69" fillId="8" borderId="33" xfId="0" applyFont="1" applyFill="1" applyBorder="1"/>
    <xf numFmtId="0" fontId="0" fillId="8" borderId="33" xfId="0" applyFill="1" applyBorder="1"/>
    <xf numFmtId="0" fontId="16" fillId="0" borderId="13" xfId="0" applyFont="1" applyBorder="1"/>
    <xf numFmtId="14" fontId="22" fillId="4" borderId="5" xfId="0" applyNumberFormat="1" applyFont="1" applyFill="1" applyBorder="1" applyAlignment="1">
      <alignment horizontal="center"/>
    </xf>
    <xf numFmtId="14" fontId="21" fillId="7" borderId="5" xfId="0" applyNumberFormat="1" applyFont="1" applyFill="1" applyBorder="1" applyAlignment="1">
      <alignment horizontal="center" vertical="center" wrapText="1"/>
    </xf>
    <xf numFmtId="14" fontId="21" fillId="2" borderId="5" xfId="0" applyNumberFormat="1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3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22" fillId="0" borderId="5" xfId="0" applyFont="1" applyBorder="1" applyAlignment="1">
      <alignment horizontal="left" vertical="center"/>
    </xf>
    <xf numFmtId="3" fontId="22" fillId="0" borderId="5" xfId="0" applyNumberFormat="1" applyFont="1" applyBorder="1" applyAlignment="1">
      <alignment horizontal="center" vertical="center"/>
    </xf>
    <xf numFmtId="10" fontId="22" fillId="0" borderId="5" xfId="0" applyNumberFormat="1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0" fontId="22" fillId="2" borderId="5" xfId="0" applyNumberFormat="1" applyFont="1" applyFill="1" applyBorder="1" applyAlignment="1">
      <alignment horizontal="center" vertical="center"/>
    </xf>
    <xf numFmtId="3" fontId="22" fillId="2" borderId="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70" fillId="8" borderId="33" xfId="0" applyFont="1" applyFill="1" applyBorder="1"/>
    <xf numFmtId="0" fontId="71" fillId="8" borderId="0" xfId="0" applyFont="1" applyFill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2" fillId="7" borderId="5" xfId="0" applyFont="1" applyFill="1" applyBorder="1" applyAlignment="1">
      <alignment horizontal="center" vertical="center"/>
    </xf>
    <xf numFmtId="0" fontId="22" fillId="13" borderId="5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vertical="center"/>
    </xf>
    <xf numFmtId="0" fontId="22" fillId="2" borderId="25" xfId="0" applyFont="1" applyFill="1" applyBorder="1" applyAlignment="1">
      <alignment vertical="center"/>
    </xf>
    <xf numFmtId="0" fontId="22" fillId="2" borderId="26" xfId="0" applyFont="1" applyFill="1" applyBorder="1" applyAlignment="1">
      <alignment vertical="center"/>
    </xf>
    <xf numFmtId="0" fontId="36" fillId="2" borderId="5" xfId="0" applyFont="1" applyFill="1" applyBorder="1" applyAlignment="1">
      <alignment vertical="center"/>
    </xf>
    <xf numFmtId="0" fontId="22" fillId="13" borderId="30" xfId="0" applyFont="1" applyFill="1" applyBorder="1" applyAlignment="1">
      <alignment horizontal="center" vertical="center" wrapText="1"/>
    </xf>
    <xf numFmtId="0" fontId="22" fillId="13" borderId="28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/>
    </xf>
    <xf numFmtId="0" fontId="22" fillId="2" borderId="5" xfId="0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vertical="center"/>
    </xf>
    <xf numFmtId="0" fontId="22" fillId="2" borderId="5" xfId="0" applyFont="1" applyFill="1" applyBorder="1" applyAlignment="1">
      <alignment horizontal="left" vertical="center"/>
    </xf>
    <xf numFmtId="0" fontId="40" fillId="0" borderId="5" xfId="0" applyFont="1" applyBorder="1" applyAlignment="1">
      <alignment vertical="center"/>
    </xf>
    <xf numFmtId="0" fontId="39" fillId="2" borderId="5" xfId="0" applyFont="1" applyFill="1" applyBorder="1" applyAlignment="1">
      <alignment vertical="center" wrapText="1"/>
    </xf>
    <xf numFmtId="0" fontId="22" fillId="2" borderId="13" xfId="0" applyFont="1" applyFill="1" applyBorder="1" applyAlignment="1">
      <alignment vertical="center"/>
    </xf>
    <xf numFmtId="0" fontId="22" fillId="13" borderId="6" xfId="0" applyFont="1" applyFill="1" applyBorder="1" applyAlignment="1">
      <alignment horizontal="center" vertical="center" wrapText="1"/>
    </xf>
    <xf numFmtId="0" fontId="22" fillId="13" borderId="29" xfId="0" applyFont="1" applyFill="1" applyBorder="1" applyAlignment="1">
      <alignment horizontal="center" vertical="center" wrapText="1"/>
    </xf>
    <xf numFmtId="0" fontId="22" fillId="13" borderId="10" xfId="0" applyFont="1" applyFill="1" applyBorder="1" applyAlignment="1">
      <alignment horizontal="center" vertical="center" wrapText="1"/>
    </xf>
    <xf numFmtId="0" fontId="39" fillId="13" borderId="5" xfId="0" applyFont="1" applyFill="1" applyBorder="1" applyAlignment="1">
      <alignment vertical="center" wrapText="1"/>
    </xf>
    <xf numFmtId="0" fontId="35" fillId="0" borderId="5" xfId="0" applyFont="1" applyBorder="1" applyAlignment="1">
      <alignment vertical="center"/>
    </xf>
    <xf numFmtId="0" fontId="36" fillId="0" borderId="5" xfId="0" applyFont="1" applyBorder="1" applyAlignment="1">
      <alignment vertical="center"/>
    </xf>
    <xf numFmtId="0" fontId="37" fillId="0" borderId="5" xfId="0" applyFont="1" applyBorder="1" applyAlignment="1">
      <alignment vertical="center" wrapText="1"/>
    </xf>
    <xf numFmtId="0" fontId="38" fillId="0" borderId="5" xfId="0" applyFont="1" applyBorder="1" applyAlignment="1">
      <alignment vertical="center"/>
    </xf>
    <xf numFmtId="0" fontId="22" fillId="5" borderId="2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/>
    </xf>
    <xf numFmtId="0" fontId="22" fillId="5" borderId="11" xfId="0" applyFont="1" applyFill="1" applyBorder="1" applyAlignment="1">
      <alignment horizontal="center"/>
    </xf>
    <xf numFmtId="0" fontId="22" fillId="5" borderId="7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/>
    </xf>
    <xf numFmtId="0" fontId="35" fillId="0" borderId="5" xfId="0" applyFont="1" applyBorder="1" applyAlignment="1">
      <alignment vertical="center" wrapText="1"/>
    </xf>
    <xf numFmtId="0" fontId="36" fillId="0" borderId="5" xfId="0" applyFont="1" applyBorder="1" applyAlignment="1">
      <alignment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11" fillId="0" borderId="0" xfId="0" applyFont="1"/>
    <xf numFmtId="0" fontId="10" fillId="6" borderId="0" xfId="0" applyFont="1" applyFill="1"/>
    <xf numFmtId="0" fontId="12" fillId="0" borderId="0" xfId="0" applyFont="1"/>
    <xf numFmtId="0" fontId="1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E7100"/>
      <color rgb="FF1047FF"/>
      <color rgb="FFFDE500"/>
      <color rgb="FFA49AFC"/>
      <color rgb="FFDAD6E0"/>
      <color rgb="FFAFAAE3"/>
      <color rgb="FFFDE5FF"/>
      <color rgb="FF734CE7"/>
      <color rgb="FFF0A7FF"/>
      <color rgb="FF712C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ru-RU" sz="2000">
                <a:solidFill>
                  <a:srgbClr val="002060"/>
                </a:solidFill>
              </a:rPr>
              <a:t>Динамика</a:t>
            </a:r>
            <a:r>
              <a:rPr lang="ru-RU" sz="2000" baseline="0">
                <a:solidFill>
                  <a:srgbClr val="002060"/>
                </a:solidFill>
              </a:rPr>
              <a:t> структуры капитала</a:t>
            </a:r>
          </a:p>
          <a:p>
            <a:pPr>
              <a:defRPr sz="2000">
                <a:solidFill>
                  <a:srgbClr val="002060"/>
                </a:solidFill>
              </a:defRPr>
            </a:pPr>
            <a:r>
              <a:rPr lang="ru-RU" sz="2000" baseline="0">
                <a:solidFill>
                  <a:srgbClr val="002060"/>
                </a:solidFill>
              </a:rPr>
              <a:t>за период 2020-2024 гг.</a:t>
            </a:r>
            <a:endParaRPr lang="ru-RU" sz="2000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8.0807983332125105E-2"/>
          <c:y val="0.16933635151493548"/>
          <c:w val="0.90631275519858989"/>
          <c:h val="0.7050089688612049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'Графики и Структура капитала'!$C$1</c:f>
              <c:strCache>
                <c:ptCount val="1"/>
                <c:pt idx="0">
                  <c:v>Добавочный капитал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'Графики и Структура капитала'!$A$2:$A$6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'Графики и Структура капитала'!$C$2:$C$6</c:f>
              <c:numCache>
                <c:formatCode>#,##0</c:formatCode>
                <c:ptCount val="5"/>
                <c:pt idx="0">
                  <c:v>4692</c:v>
                </c:pt>
                <c:pt idx="1">
                  <c:v>4692</c:v>
                </c:pt>
                <c:pt idx="2">
                  <c:v>7892</c:v>
                </c:pt>
                <c:pt idx="3">
                  <c:v>7892</c:v>
                </c:pt>
                <c:pt idx="4">
                  <c:v>9892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A-B045-B260-7BB8875C534D}"/>
            </c:ext>
          </c:extLst>
        </c:ser>
        <c:ser>
          <c:idx val="1"/>
          <c:order val="1"/>
          <c:tx>
            <c:strRef>
              <c:f>'Графики и Структура капитала'!$E$1</c:f>
              <c:strCache>
                <c:ptCount val="1"/>
                <c:pt idx="0">
                  <c:v>Нераспределенная прибыль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FAAE3"/>
              </a:solidFill>
              <a:ln w="9525">
                <a:solidFill>
                  <a:srgbClr val="712CC0"/>
                </a:solidFill>
              </a:ln>
              <a:effectLst/>
            </c:spPr>
          </c:marker>
          <c:val>
            <c:numRef>
              <c:f>'Графики и Структура капитала'!$E$2:$E$6</c:f>
              <c:numCache>
                <c:formatCode>General</c:formatCode>
                <c:ptCount val="5"/>
                <c:pt idx="0" formatCode="#,##0">
                  <c:v>2475</c:v>
                </c:pt>
                <c:pt idx="1">
                  <c:v>196</c:v>
                </c:pt>
                <c:pt idx="2" formatCode="#,##0">
                  <c:v>3546</c:v>
                </c:pt>
                <c:pt idx="3" formatCode="#,##0">
                  <c:v>3757</c:v>
                </c:pt>
                <c:pt idx="4" formatCode="#,##0">
                  <c:v>4291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A-B045-B260-7BB8875C534D}"/>
            </c:ext>
          </c:extLst>
        </c:ser>
        <c:ser>
          <c:idx val="2"/>
          <c:order val="2"/>
          <c:tx>
            <c:strRef>
              <c:f>'Графики и Структура капитала'!$B$1</c:f>
              <c:strCache>
                <c:ptCount val="1"/>
                <c:pt idx="0">
                  <c:v>Акционерный капитал</c:v>
                </c:pt>
              </c:strCache>
            </c:strRef>
          </c:tx>
          <c:spPr>
            <a:ln w="28575" cap="rnd">
              <a:solidFill>
                <a:srgbClr val="1047FF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'Графики и Структура капитала'!$B$2:$B$6</c:f>
              <c:numCache>
                <c:formatCode>General</c:formatCode>
                <c:ptCount val="5"/>
                <c:pt idx="0">
                  <c:v>5216</c:v>
                </c:pt>
                <c:pt idx="1">
                  <c:v>5216</c:v>
                </c:pt>
                <c:pt idx="2">
                  <c:v>5216</c:v>
                </c:pt>
                <c:pt idx="3">
                  <c:v>5216</c:v>
                </c:pt>
                <c:pt idx="4">
                  <c:v>5216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A-B045-B260-7BB8875C534D}"/>
            </c:ext>
          </c:extLst>
        </c:ser>
        <c:ser>
          <c:idx val="3"/>
          <c:order val="3"/>
          <c:tx>
            <c:strRef>
              <c:f>'Графики и Структура капитала'!$D$1</c:f>
              <c:strCache>
                <c:ptCount val="1"/>
                <c:pt idx="0">
                  <c:v>Прочие фонды</c:v>
                </c:pt>
              </c:strCache>
            </c:strRef>
          </c:tx>
          <c:spPr>
            <a:ln w="28575" cap="rnd">
              <a:solidFill>
                <a:srgbClr val="FF93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49AFC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'Графики и Структура капитала'!$D$2:$D$6</c:f>
              <c:numCache>
                <c:formatCode>#,##0</c:formatCode>
                <c:ptCount val="5"/>
                <c:pt idx="0" formatCode="General">
                  <c:v>447</c:v>
                </c:pt>
                <c:pt idx="1">
                  <c:v>3208</c:v>
                </c:pt>
                <c:pt idx="2" formatCode="General">
                  <c:v>412</c:v>
                </c:pt>
                <c:pt idx="3" formatCode="General">
                  <c:v>644</c:v>
                </c:pt>
                <c:pt idx="4" formatCode="General">
                  <c:v>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A-B045-B260-7BB8875C5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124175"/>
        <c:axId val="372710079"/>
      </c:lineChart>
      <c:catAx>
        <c:axId val="37312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2710079"/>
        <c:crosses val="autoZero"/>
        <c:auto val="1"/>
        <c:lblAlgn val="ctr"/>
        <c:lblOffset val="100"/>
        <c:noMultiLvlLbl val="0"/>
      </c:catAx>
      <c:valAx>
        <c:axId val="372710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DE5FF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312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'Графики и Структура капитала'!$N$1</c:f>
              <c:strCache>
                <c:ptCount val="1"/>
                <c:pt idx="0">
                  <c:v>NIM</c:v>
                </c:pt>
              </c:strCache>
            </c:strRef>
          </c:tx>
          <c:spPr>
            <a:ln w="15875" cap="rnd">
              <a:solidFill>
                <a:srgbClr val="A49AF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'Графики и Структура капитала'!$A$2:$A$6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'Графики и Структура капитала'!$N$2:$N$6</c:f>
              <c:numCache>
                <c:formatCode>0.00%</c:formatCode>
                <c:ptCount val="5"/>
                <c:pt idx="0">
                  <c:v>0.1169375</c:v>
                </c:pt>
                <c:pt idx="1">
                  <c:v>0.14046198562031512</c:v>
                </c:pt>
                <c:pt idx="2">
                  <c:v>0.11937608749689287</c:v>
                </c:pt>
                <c:pt idx="3">
                  <c:v>8.208528341133646E-2</c:v>
                </c:pt>
                <c:pt idx="4">
                  <c:v>0.13305813339954686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B-A349-AE81-6D46CCD58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078367"/>
        <c:axId val="1265385599"/>
      </c:lineChart>
      <c:catAx>
        <c:axId val="37307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5385599"/>
        <c:crosses val="autoZero"/>
        <c:auto val="1"/>
        <c:lblAlgn val="ctr"/>
        <c:lblOffset val="100"/>
        <c:noMultiLvlLbl val="0"/>
      </c:catAx>
      <c:valAx>
        <c:axId val="1265385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AD6E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307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'Графики и Структура капитала'!$O$1</c:f>
              <c:strCache>
                <c:ptCount val="1"/>
                <c:pt idx="0">
                  <c:v>COR</c:v>
                </c:pt>
              </c:strCache>
            </c:strRef>
          </c:tx>
          <c:spPr>
            <a:ln w="15875" cap="rnd">
              <a:solidFill>
                <a:srgbClr val="A49AF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'Графики и Структура капитала'!$A$2:$A$6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'Графики и Структура капитала'!$O$2:$O$6</c:f>
              <c:numCache>
                <c:formatCode>0.00%</c:formatCode>
                <c:ptCount val="5"/>
                <c:pt idx="0">
                  <c:v>1.7420489052261467E-2</c:v>
                </c:pt>
                <c:pt idx="1">
                  <c:v>3.1108782500491191E-3</c:v>
                </c:pt>
                <c:pt idx="2">
                  <c:v>1.6688305519490802E-2</c:v>
                </c:pt>
                <c:pt idx="3">
                  <c:v>8.8851836819762407E-3</c:v>
                </c:pt>
                <c:pt idx="4">
                  <c:v>2.9786262157172495E-3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A-844E-BDA7-05DE6E2A6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078367"/>
        <c:axId val="1265385599"/>
      </c:lineChart>
      <c:catAx>
        <c:axId val="37307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5385599"/>
        <c:crosses val="autoZero"/>
        <c:auto val="1"/>
        <c:lblAlgn val="ctr"/>
        <c:lblOffset val="100"/>
        <c:noMultiLvlLbl val="0"/>
      </c:catAx>
      <c:valAx>
        <c:axId val="1265385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AD6E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307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rgbClr val="002060"/>
                </a:solidFill>
              </a:rPr>
              <a:t>Динамика активов АО "Ингосстрах</a:t>
            </a:r>
            <a:r>
              <a:rPr lang="en-US" b="1">
                <a:solidFill>
                  <a:srgbClr val="002060"/>
                </a:solidFill>
              </a:rPr>
              <a:t>"</a:t>
            </a:r>
            <a:endParaRPr lang="ru-RU" b="1">
              <a:solidFill>
                <a:srgbClr val="002060"/>
              </a:solidFill>
            </a:endParaRPr>
          </a:p>
        </c:rich>
      </c:tx>
      <c:layout>
        <c:manualLayout>
          <c:xMode val="edge"/>
          <c:yMode val="edge"/>
          <c:x val="0.19643396891765946"/>
          <c:y val="3.4101832906389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4887434228373052E-2"/>
          <c:y val="0.17839783266276155"/>
          <c:w val="0.93603970391464941"/>
          <c:h val="0.69453303468692051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8140664926563689E-2"/>
                  <c:y val="-9.755077640036450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09-304B-B88B-B3FD6F550266}"/>
                </c:ext>
              </c:extLst>
            </c:dLbl>
            <c:dLbl>
              <c:idx val="1"/>
              <c:layout>
                <c:manualLayout>
                  <c:x val="-0.11377919281773256"/>
                  <c:y val="-2.427206732268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09-304B-B88B-B3FD6F550266}"/>
                </c:ext>
              </c:extLst>
            </c:dLbl>
            <c:dLbl>
              <c:idx val="2"/>
              <c:layout>
                <c:manualLayout>
                  <c:x val="-0.11958461517363699"/>
                  <c:y val="-1.9417653858150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09-304B-B88B-B3FD6F550266}"/>
                </c:ext>
              </c:extLst>
            </c:dLbl>
            <c:dLbl>
              <c:idx val="3"/>
              <c:layout>
                <c:manualLayout>
                  <c:x val="-0.11377919281773259"/>
                  <c:y val="-4.44982760437122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09-304B-B88B-B3FD6F550266}"/>
                </c:ext>
              </c:extLst>
            </c:dLbl>
            <c:dLbl>
              <c:idx val="4"/>
              <c:layout>
                <c:manualLayout>
                  <c:x val="-4.2279016826582437E-2"/>
                  <c:y val="-9.70882692907515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09-304B-B88B-B3FD6F550266}"/>
                </c:ext>
              </c:extLst>
            </c:dLbl>
            <c:spPr>
              <a:noFill/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'Анализ активов'!$T$2:$T$6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'Анализ активов'!$U$2:$U$6</c:f>
              <c:numCache>
                <c:formatCode>#,##0</c:formatCode>
                <c:ptCount val="5"/>
                <c:pt idx="0">
                  <c:v>87555</c:v>
                </c:pt>
                <c:pt idx="1">
                  <c:v>100619</c:v>
                </c:pt>
                <c:pt idx="2">
                  <c:v>118148</c:v>
                </c:pt>
                <c:pt idx="3">
                  <c:v>175036</c:v>
                </c:pt>
                <c:pt idx="4">
                  <c:v>145813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9-304B-B88B-B3FD6F55026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27481040"/>
        <c:axId val="406377040"/>
      </c:lineChart>
      <c:catAx>
        <c:axId val="102748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6377040"/>
        <c:crosses val="autoZero"/>
        <c:auto val="1"/>
        <c:lblAlgn val="ctr"/>
        <c:lblOffset val="100"/>
        <c:noMultiLvlLbl val="0"/>
      </c:catAx>
      <c:valAx>
        <c:axId val="406377040"/>
        <c:scaling>
          <c:orientation val="minMax"/>
          <c:min val="80000"/>
        </c:scaling>
        <c:delete val="1"/>
        <c:axPos val="l"/>
        <c:numFmt formatCode="#,##0" sourceLinked="1"/>
        <c:majorTickMark val="none"/>
        <c:minorTickMark val="none"/>
        <c:tickLblPos val="nextTo"/>
        <c:crossAx val="102748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/>
                </a:solidFill>
                <a:latin typeface="Thonburi Light" pitchFamily="2" charset="-34"/>
                <a:ea typeface="+mj-ea"/>
                <a:cs typeface="Thonburi Light" pitchFamily="2" charset="-34"/>
              </a:defRPr>
            </a:pPr>
            <a:r>
              <a:rPr lang="ru-RU" sz="1300" b="0" i="0">
                <a:solidFill>
                  <a:schemeClr val="tx1"/>
                </a:solidFill>
                <a:cs typeface="Thonburi Light" pitchFamily="2" charset="-34"/>
              </a:rPr>
              <a:t>Динамика изменения долей крупных  активов</a:t>
            </a:r>
          </a:p>
        </c:rich>
      </c:tx>
      <c:layout>
        <c:manualLayout>
          <c:xMode val="edge"/>
          <c:yMode val="edge"/>
          <c:x val="0.13882298823677711"/>
          <c:y val="2.16247755223433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/>
              </a:solidFill>
              <a:latin typeface="Thonburi Light" pitchFamily="2" charset="-34"/>
              <a:ea typeface="+mj-ea"/>
              <a:cs typeface="Thonburi Light" pitchFamily="2" charset="-34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'Анализ активов'!$U$8</c:f>
              <c:strCache>
                <c:ptCount val="1"/>
                <c:pt idx="0">
                  <c:v>Кредиты и авансы клиентам</c:v>
                </c:pt>
              </c:strCache>
            </c:strRef>
          </c:tx>
          <c:spPr>
            <a:solidFill>
              <a:srgbClr val="0070C0">
                <a:alpha val="70000"/>
              </a:srgbClr>
            </a:solidFill>
            <a:ln>
              <a:noFill/>
            </a:ln>
            <a:effectLst/>
          </c:spPr>
          <c:invertIfNegative val="0"/>
          <c:cat>
            <c:numRef>
              <c:f>'Анализ активов'!$T$9:$T$13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'Анализ активов'!$U$9:$U$13</c:f>
              <c:numCache>
                <c:formatCode>0.00%</c:formatCode>
                <c:ptCount val="5"/>
                <c:pt idx="0">
                  <c:v>0.5717092113528639</c:v>
                </c:pt>
                <c:pt idx="1">
                  <c:v>0.60700265357437466</c:v>
                </c:pt>
                <c:pt idx="2">
                  <c:v>0.53456681450384269</c:v>
                </c:pt>
                <c:pt idx="3">
                  <c:v>0.52082428757512744</c:v>
                </c:pt>
                <c:pt idx="4">
                  <c:v>0.72066276669432772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7-4F40-9A6B-2A11F25E1768}"/>
            </c:ext>
          </c:extLst>
        </c:ser>
        <c:ser>
          <c:idx val="1"/>
          <c:order val="1"/>
          <c:tx>
            <c:strRef>
              <c:f>'Анализ активов'!$V$8</c:f>
              <c:strCache>
                <c:ptCount val="1"/>
                <c:pt idx="0">
                  <c:v>Денежные средства и их эквиваленты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'Анализ активов'!$T$9:$T$13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'Анализ активов'!$V$9:$V$13</c:f>
              <c:numCache>
                <c:formatCode>0.00%</c:formatCode>
                <c:ptCount val="5"/>
                <c:pt idx="0">
                  <c:v>0.19089715036262919</c:v>
                </c:pt>
                <c:pt idx="1">
                  <c:v>0.14141464335761636</c:v>
                </c:pt>
                <c:pt idx="2">
                  <c:v>0.25122727426617464</c:v>
                </c:pt>
                <c:pt idx="3">
                  <c:v>0.33603373020407229</c:v>
                </c:pt>
                <c:pt idx="4">
                  <c:v>0.10551185422424612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D7-4F40-9A6B-2A11F25E1768}"/>
            </c:ext>
          </c:extLst>
        </c:ser>
        <c:ser>
          <c:idx val="2"/>
          <c:order val="2"/>
          <c:tx>
            <c:strRef>
              <c:f>'Анализ активов'!$W$8</c:f>
              <c:strCache>
                <c:ptCount val="1"/>
                <c:pt idx="0">
                  <c:v>Инвестиции в ценные бумаги</c:v>
                </c:pt>
              </c:strCache>
            </c:strRef>
          </c:tx>
          <c:spPr>
            <a:solidFill>
              <a:schemeClr val="bg1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'Анализ активов'!$T$9:$T$13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'Анализ активов'!$W$9:$W$13</c:f>
              <c:numCache>
                <c:formatCode>0.00%</c:formatCode>
                <c:ptCount val="5"/>
                <c:pt idx="0">
                  <c:v>0.1284678202272857</c:v>
                </c:pt>
                <c:pt idx="1">
                  <c:v>0.18337490931136266</c:v>
                </c:pt>
                <c:pt idx="2">
                  <c:v>0.14282086874090125</c:v>
                </c:pt>
                <c:pt idx="3">
                  <c:v>9.2575241664571858E-2</c:v>
                </c:pt>
                <c:pt idx="4">
                  <c:v>0.10169189304108686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D7-4F40-9A6B-2A11F25E1768}"/>
            </c:ext>
          </c:extLst>
        </c:ser>
        <c:ser>
          <c:idx val="3"/>
          <c:order val="3"/>
          <c:tx>
            <c:strRef>
              <c:f>'Анализ активов'!$X$8</c:f>
              <c:strCache>
                <c:ptCount val="1"/>
                <c:pt idx="0">
                  <c:v>Основные средства, нематериальные активы и активы в форме права пользования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'Анализ активов'!$T$9:$T$13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'Анализ активов'!$X$9:$X$13</c:f>
              <c:numCache>
                <c:formatCode>0.00%</c:formatCode>
                <c:ptCount val="5"/>
                <c:pt idx="0">
                  <c:v>2.1597852778253671E-2</c:v>
                </c:pt>
                <c:pt idx="1">
                  <c:v>2.4816386567149344E-2</c:v>
                </c:pt>
                <c:pt idx="2">
                  <c:v>2.6162101770660529E-2</c:v>
                </c:pt>
                <c:pt idx="3">
                  <c:v>1.784775703283896E-2</c:v>
                </c:pt>
                <c:pt idx="4">
                  <c:v>2.7137498028296517E-2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D7-4F40-9A6B-2A11F25E1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414488032"/>
        <c:axId val="444242784"/>
      </c:barChart>
      <c:catAx>
        <c:axId val="41448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4242784"/>
        <c:crosses val="autoZero"/>
        <c:auto val="1"/>
        <c:lblAlgn val="ctr"/>
        <c:lblOffset val="100"/>
        <c:noMultiLvlLbl val="0"/>
      </c:catAx>
      <c:valAx>
        <c:axId val="4442427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448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462033389431585E-2"/>
          <c:y val="0.74050099099364997"/>
          <c:w val="0.84420546099639004"/>
          <c:h val="0.23787423348400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300" b="1">
                <a:solidFill>
                  <a:srgbClr val="002060"/>
                </a:solidFill>
              </a:rPr>
              <a:t>Динамика крупнейших</a:t>
            </a:r>
            <a:r>
              <a:rPr lang="ru-RU" sz="1300" b="1" baseline="0">
                <a:solidFill>
                  <a:srgbClr val="002060"/>
                </a:solidFill>
              </a:rPr>
              <a:t> статей активов</a:t>
            </a:r>
            <a:endParaRPr lang="ru-RU" sz="1300" b="1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'Анализ активов'!$U$24</c:f>
              <c:strCache>
                <c:ptCount val="1"/>
                <c:pt idx="0">
                  <c:v>Кредиты и авансы клиентам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'Анализ активов'!$T$25:$T$29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'Анализ активов'!$U$25:$U$29</c:f>
              <c:numCache>
                <c:formatCode>#,##0</c:formatCode>
                <c:ptCount val="5"/>
                <c:pt idx="0">
                  <c:v>50056</c:v>
                </c:pt>
                <c:pt idx="1">
                  <c:v>61076</c:v>
                </c:pt>
                <c:pt idx="2">
                  <c:v>63158</c:v>
                </c:pt>
                <c:pt idx="3">
                  <c:v>91163</c:v>
                </c:pt>
                <c:pt idx="4">
                  <c:v>105082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A-0D4F-B385-30EF5A21FBE8}"/>
            </c:ext>
          </c:extLst>
        </c:ser>
        <c:ser>
          <c:idx val="1"/>
          <c:order val="1"/>
          <c:tx>
            <c:strRef>
              <c:f>'Анализ активов'!$V$24</c:f>
              <c:strCache>
                <c:ptCount val="1"/>
                <c:pt idx="0">
                  <c:v>Денежные средства и их эквиваленты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'Анализ активов'!$T$25:$T$29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'Анализ активов'!$V$25:$V$29</c:f>
              <c:numCache>
                <c:formatCode>#,##0</c:formatCode>
                <c:ptCount val="5"/>
                <c:pt idx="0">
                  <c:v>16714</c:v>
                </c:pt>
                <c:pt idx="1">
                  <c:v>14229</c:v>
                </c:pt>
                <c:pt idx="2">
                  <c:v>29682</c:v>
                </c:pt>
                <c:pt idx="3">
                  <c:v>58818</c:v>
                </c:pt>
                <c:pt idx="4">
                  <c:v>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2A-0D4F-B385-30EF5A21FBE8}"/>
            </c:ext>
          </c:extLst>
        </c:ser>
        <c:ser>
          <c:idx val="2"/>
          <c:order val="2"/>
          <c:tx>
            <c:strRef>
              <c:f>'Анализ активов'!$W$24</c:f>
              <c:strCache>
                <c:ptCount val="1"/>
                <c:pt idx="0">
                  <c:v>Инвестиции в ценные бумаги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'Анализ активов'!$T$25:$T$29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'Анализ активов'!$W$25:$W$29</c:f>
              <c:numCache>
                <c:formatCode>#,##0</c:formatCode>
                <c:ptCount val="5"/>
                <c:pt idx="0">
                  <c:v>11248</c:v>
                </c:pt>
                <c:pt idx="1">
                  <c:v>18451</c:v>
                </c:pt>
                <c:pt idx="2">
                  <c:v>16874</c:v>
                </c:pt>
                <c:pt idx="3">
                  <c:v>16204</c:v>
                </c:pt>
                <c:pt idx="4">
                  <c:v>14828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2A-0D4F-B385-30EF5A21FBE8}"/>
            </c:ext>
          </c:extLst>
        </c:ser>
        <c:ser>
          <c:idx val="3"/>
          <c:order val="3"/>
          <c:tx>
            <c:strRef>
              <c:f>'Анализ активов'!$X$24</c:f>
              <c:strCache>
                <c:ptCount val="1"/>
                <c:pt idx="0">
                  <c:v>Основные средства, нематериальные активы и активы в форме права пользования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'Анализ активов'!$T$25:$T$29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'Анализ активов'!$X$25:$X$29</c:f>
              <c:numCache>
                <c:formatCode>#,##0</c:formatCode>
                <c:ptCount val="5"/>
                <c:pt idx="0">
                  <c:v>1891</c:v>
                </c:pt>
                <c:pt idx="1">
                  <c:v>2497</c:v>
                </c:pt>
                <c:pt idx="2">
                  <c:v>3091</c:v>
                </c:pt>
                <c:pt idx="3">
                  <c:v>3124</c:v>
                </c:pt>
                <c:pt idx="4">
                  <c:v>3957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2A-0D4F-B385-30EF5A21F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429680"/>
        <c:axId val="1744713647"/>
      </c:barChart>
      <c:catAx>
        <c:axId val="48542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44713647"/>
        <c:crosses val="autoZero"/>
        <c:auto val="1"/>
        <c:lblAlgn val="ctr"/>
        <c:lblOffset val="100"/>
        <c:noMultiLvlLbl val="0"/>
      </c:catAx>
      <c:valAx>
        <c:axId val="1744713647"/>
        <c:scaling>
          <c:orientation val="minMax"/>
          <c:max val="110000"/>
          <c:min val="0"/>
        </c:scaling>
        <c:delete val="0"/>
        <c:axPos val="l"/>
        <c:majorGridlines>
          <c:spPr>
            <a:ln w="9525" cap="flat" cmpd="thickThin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bevel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542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ru-RU" sz="1400" b="1">
                <a:solidFill>
                  <a:srgbClr val="002060"/>
                </a:solidFill>
                <a:latin typeface="+mn-lt"/>
              </a:rPr>
              <a:t>Кредитный портфель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'Анализ активов'!$AH$13</c:f>
              <c:strCache>
                <c:ptCount val="1"/>
                <c:pt idx="0">
                  <c:v>Корпоративные кредиты </c:v>
                </c:pt>
              </c:strCache>
            </c:strRef>
          </c:tx>
          <c:spPr>
            <a:solidFill>
              <a:srgbClr val="1047FF"/>
            </a:solidFill>
            <a:ln>
              <a:solidFill>
                <a:schemeClr val="tx1"/>
              </a:solidFill>
            </a:ln>
            <a:effectLst/>
          </c:spPr>
          <c:invertIfNegative val="0"/>
          <c:trendline>
            <c:spPr>
              <a:ln w="19050" cap="rnd">
                <a:solidFill>
                  <a:srgbClr val="FF0000"/>
                </a:solidFill>
                <a:prstDash val="sysDash"/>
                <a:round/>
              </a:ln>
              <a:effectLst/>
            </c:spPr>
            <c:trendlineType val="linear"/>
            <c:dispRSqr val="0"/>
            <c:dispEq val="0"/>
          </c:trendline>
          <c:cat>
            <c:numRef>
              <c:f>'Анализ активов'!$AI$12:$AK$12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активов'!$AI$13:$AK$13</c:f>
              <c:numCache>
                <c:formatCode>General</c:formatCode>
                <c:ptCount val="3"/>
                <c:pt idx="0" formatCode="#,##0">
                  <c:v>37822</c:v>
                </c:pt>
                <c:pt idx="1">
                  <c:v>62620</c:v>
                </c:pt>
                <c:pt idx="2" formatCode="#,##0">
                  <c:v>70833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0-A644-A47C-F51097EB7ED2}"/>
            </c:ext>
          </c:extLst>
        </c:ser>
        <c:ser>
          <c:idx val="1"/>
          <c:order val="1"/>
          <c:tx>
            <c:strRef>
              <c:f>'Анализ активов'!$AH$14</c:f>
              <c:strCache>
                <c:ptCount val="1"/>
                <c:pt idx="0">
                  <c:v>Розничные кредиты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активов'!$AI$12:$AK$12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активов'!$AI$14:$AK$14</c:f>
              <c:numCache>
                <c:formatCode>General</c:formatCode>
                <c:ptCount val="3"/>
                <c:pt idx="0" formatCode="#,##0">
                  <c:v>30234</c:v>
                </c:pt>
                <c:pt idx="1">
                  <c:v>33582</c:v>
                </c:pt>
                <c:pt idx="2" formatCode="#,##0">
                  <c:v>39513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F0-A644-A47C-F51097EB7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649258752"/>
        <c:axId val="649270992"/>
      </c:barChart>
      <c:catAx>
        <c:axId val="64925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9270992"/>
        <c:crosses val="autoZero"/>
        <c:auto val="1"/>
        <c:lblAlgn val="ctr"/>
        <c:lblOffset val="100"/>
        <c:noMultiLvlLbl val="0"/>
      </c:catAx>
      <c:valAx>
        <c:axId val="649270992"/>
        <c:scaling>
          <c:orientation val="minMax"/>
          <c:max val="75000"/>
          <c:min val="0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9258752"/>
        <c:crosses val="autoZero"/>
        <c:crossBetween val="between"/>
        <c:minorUnit val="10000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rgbClr val="002060"/>
                </a:solidFill>
              </a:rPr>
              <a:t>Корпоративные кредиты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'Анализ активов'!$AH$2</c:f>
              <c:strCache>
                <c:ptCount val="1"/>
                <c:pt idx="0">
                  <c:v>Кредиты, выданные юридическим лицам </c:v>
                </c:pt>
              </c:strCache>
            </c:strRef>
          </c:tx>
          <c:spPr>
            <a:solidFill>
              <a:srgbClr val="EE71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активов'!$AI$1:$AK$1</c:f>
              <c:numCache>
                <c:formatCode>General</c:formatCode>
                <c:ptCount val="3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</c:numCache>
            </c:numRef>
          </c:cat>
          <c:val>
            <c:numRef>
              <c:f>'Анализ активов'!$AI$2:$AK$2</c:f>
              <c:numCache>
                <c:formatCode>#,##0</c:formatCode>
                <c:ptCount val="3"/>
                <c:pt idx="0">
                  <c:v>36313</c:v>
                </c:pt>
                <c:pt idx="1">
                  <c:v>31884</c:v>
                </c:pt>
                <c:pt idx="2">
                  <c:v>19708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2-A54F-A66E-3CC2D85D5EAE}"/>
            </c:ext>
          </c:extLst>
        </c:ser>
        <c:ser>
          <c:idx val="1"/>
          <c:order val="1"/>
          <c:tx>
            <c:strRef>
              <c:f>'Анализ активов'!$AH$3</c:f>
              <c:strCache>
                <c:ptCount val="1"/>
                <c:pt idx="0">
                  <c:v>Факторинг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активов'!$AI$1:$AK$1</c:f>
              <c:numCache>
                <c:formatCode>General</c:formatCode>
                <c:ptCount val="3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</c:numCache>
            </c:numRef>
          </c:cat>
          <c:val>
            <c:numRef>
              <c:f>'Анализ активов'!$AI$3:$AK$3</c:f>
              <c:numCache>
                <c:formatCode>#,##0</c:formatCode>
                <c:ptCount val="3"/>
                <c:pt idx="0">
                  <c:v>34520</c:v>
                </c:pt>
                <c:pt idx="1">
                  <c:v>30736</c:v>
                </c:pt>
                <c:pt idx="2">
                  <c:v>18114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E2-A54F-A66E-3CC2D85D5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57056016"/>
        <c:axId val="1446570112"/>
      </c:barChart>
      <c:catAx>
        <c:axId val="1957056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46570112"/>
        <c:crosses val="autoZero"/>
        <c:auto val="1"/>
        <c:lblAlgn val="ctr"/>
        <c:lblOffset val="100"/>
        <c:noMultiLvlLbl val="0"/>
      </c:catAx>
      <c:valAx>
        <c:axId val="1446570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705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rgbClr val="002060"/>
                </a:solidFill>
              </a:rPr>
              <a:t>Розничные</a:t>
            </a:r>
            <a:r>
              <a:rPr lang="ru-RU" b="1" baseline="0">
                <a:solidFill>
                  <a:srgbClr val="002060"/>
                </a:solidFill>
              </a:rPr>
              <a:t> кредиты</a:t>
            </a:r>
            <a:endParaRPr lang="ru-RU" b="1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9.3042711478895104E-2"/>
          <c:y val="0.36472614430918854"/>
          <c:w val="0.86196282669758861"/>
          <c:h val="0.494532420662832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'Анализ активов'!$AH$4</c:f>
              <c:strCache>
                <c:ptCount val="1"/>
                <c:pt idx="0">
                  <c:v>Кредиты на покупку автомобилей </c:v>
                </c:pt>
              </c:strCache>
            </c:strRef>
          </c:tx>
          <c:spPr>
            <a:solidFill>
              <a:srgbClr val="1047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активов'!$AI$1:$AK$1</c:f>
              <c:numCache>
                <c:formatCode>General</c:formatCode>
                <c:ptCount val="3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</c:numCache>
            </c:numRef>
          </c:cat>
          <c:val>
            <c:numRef>
              <c:f>'Анализ активов'!$AI$4:$AK$4</c:f>
              <c:numCache>
                <c:formatCode>#,##0</c:formatCode>
                <c:ptCount val="3"/>
                <c:pt idx="0">
                  <c:v>27242</c:v>
                </c:pt>
                <c:pt idx="1">
                  <c:v>22074</c:v>
                </c:pt>
                <c:pt idx="2">
                  <c:v>20763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F-DC4C-B208-0CF365EA4D72}"/>
            </c:ext>
          </c:extLst>
        </c:ser>
        <c:ser>
          <c:idx val="1"/>
          <c:order val="1"/>
          <c:tx>
            <c:strRef>
              <c:f>'Анализ активов'!$AH$5</c:f>
              <c:strCache>
                <c:ptCount val="1"/>
                <c:pt idx="0">
                  <c:v>Ипотечные кредиты 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активов'!$AI$1:$AK$1</c:f>
              <c:numCache>
                <c:formatCode>General</c:formatCode>
                <c:ptCount val="3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</c:numCache>
            </c:numRef>
          </c:cat>
          <c:val>
            <c:numRef>
              <c:f>'Анализ активов'!$AI$5:$AK$5</c:f>
              <c:numCache>
                <c:formatCode>#,##0</c:formatCode>
                <c:ptCount val="3"/>
                <c:pt idx="0">
                  <c:v>6977</c:v>
                </c:pt>
                <c:pt idx="1">
                  <c:v>6856</c:v>
                </c:pt>
                <c:pt idx="2">
                  <c:v>7255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2F-DC4C-B208-0CF365EA4D72}"/>
            </c:ext>
          </c:extLst>
        </c:ser>
        <c:ser>
          <c:idx val="2"/>
          <c:order val="2"/>
          <c:tx>
            <c:strRef>
              <c:f>'Анализ активов'!$AH$6</c:f>
              <c:strCache>
                <c:ptCount val="1"/>
                <c:pt idx="0">
                  <c:v>Потребительские кредиты 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активов'!$AI$1:$AK$1</c:f>
              <c:numCache>
                <c:formatCode>General</c:formatCode>
                <c:ptCount val="3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</c:numCache>
            </c:numRef>
          </c:cat>
          <c:val>
            <c:numRef>
              <c:f>'Анализ активов'!$AI$6:$AK$6</c:f>
              <c:numCache>
                <c:formatCode>#,##0</c:formatCode>
                <c:ptCount val="3"/>
                <c:pt idx="0">
                  <c:v>5292</c:v>
                </c:pt>
                <c:pt idx="1">
                  <c:v>4649</c:v>
                </c:pt>
                <c:pt idx="2">
                  <c:v>2208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2F-DC4C-B208-0CF365EA4D72}"/>
            </c:ext>
          </c:extLst>
        </c:ser>
        <c:ser>
          <c:idx val="3"/>
          <c:order val="3"/>
          <c:tx>
            <c:strRef>
              <c:f>'Анализ активов'!$AH$7</c:f>
              <c:strCache>
                <c:ptCount val="1"/>
                <c:pt idx="0">
                  <c:v>Кредиты на образование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'Анализ активов'!$AI$1:$AK$1</c:f>
              <c:numCache>
                <c:formatCode>General</c:formatCode>
                <c:ptCount val="3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</c:numCache>
            </c:numRef>
          </c:cat>
          <c:val>
            <c:numRef>
              <c:f>'Анализ активов'!$AI$7:$AK$7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2F-DC4C-B208-0CF365EA4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71705680"/>
        <c:axId val="1371593472"/>
      </c:barChart>
      <c:catAx>
        <c:axId val="1371705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71593472"/>
        <c:crosses val="autoZero"/>
        <c:auto val="1"/>
        <c:lblAlgn val="ctr"/>
        <c:lblOffset val="100"/>
        <c:noMultiLvlLbl val="0"/>
      </c:catAx>
      <c:valAx>
        <c:axId val="1371593472"/>
        <c:scaling>
          <c:orientation val="minMax"/>
          <c:max val="28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7170568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4.9323434508129524E-2"/>
          <c:y val="0.20933116115256026"/>
          <c:w val="0.94839358256345818"/>
          <c:h val="0.163118263332964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200" b="1">
                <a:solidFill>
                  <a:srgbClr val="002060"/>
                </a:solidFill>
              </a:rPr>
              <a:t>Оценочный резерв под кредитные убытки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8.4310520962247781E-2"/>
          <c:y val="0.26989061082013205"/>
          <c:w val="0.87090301371916112"/>
          <c:h val="0.60627774999316553"/>
        </c:manualLayout>
      </c:layout>
      <c:lineChart>
        <c:grouping val="standard"/>
        <c:varyColors val="0"/>
        <c:ser>
          <c:idx val="0"/>
          <c:order val="0"/>
          <c:tx>
            <c:strRef>
              <c:f>'Анализ активов'!$AH$30</c:f>
              <c:strCache>
                <c:ptCount val="1"/>
                <c:pt idx="0">
                  <c:v>(Оценочный резерв под кредитные убытки)</c:v>
                </c:pt>
              </c:strCache>
            </c:strRef>
          </c:tx>
          <c:spPr>
            <a:ln w="28575" cap="rnd">
              <a:solidFill>
                <a:srgbClr val="EE7100"/>
              </a:solidFill>
              <a:prstDash val="dashDot"/>
              <a:round/>
            </a:ln>
            <a:effectLst/>
          </c:spPr>
          <c:marker>
            <c:symbol val="circle"/>
            <c:size val="5"/>
            <c:spPr>
              <a:solidFill>
                <a:srgbClr val="EE7100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'Анализ активов'!$AI$29:$AK$29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активов'!$AI$30:$AK$30</c:f>
              <c:numCache>
                <c:formatCode>#,##0</c:formatCode>
                <c:ptCount val="3"/>
                <c:pt idx="0">
                  <c:v>4898</c:v>
                </c:pt>
                <c:pt idx="1">
                  <c:v>5039</c:v>
                </c:pt>
                <c:pt idx="2">
                  <c:v>5264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7-234F-97AD-706B347E4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441935"/>
        <c:axId val="2114827136"/>
      </c:lineChart>
      <c:catAx>
        <c:axId val="269441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4827136"/>
        <c:crosses val="autoZero"/>
        <c:auto val="1"/>
        <c:lblAlgn val="ctr"/>
        <c:lblOffset val="100"/>
        <c:noMultiLvlLbl val="0"/>
      </c:catAx>
      <c:valAx>
        <c:axId val="2114827136"/>
        <c:scaling>
          <c:orientation val="minMax"/>
          <c:max val="5300"/>
          <c:min val="4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441935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rgbClr val="002060"/>
                </a:solidFill>
              </a:rPr>
              <a:t>Портфель ценных бумаг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'Анализ активов'!$AO$2</c:f>
              <c:strCache>
                <c:ptCount val="1"/>
                <c:pt idx="0">
                  <c:v>Облигации федерального займа Российской Федерации (ОФЗ)</c:v>
                </c:pt>
              </c:strCache>
            </c:strRef>
          </c:tx>
          <c:spPr>
            <a:solidFill>
              <a:srgbClr val="1047FF"/>
            </a:solidFill>
            <a:ln>
              <a:solidFill>
                <a:schemeClr val="tx1"/>
              </a:solidFill>
            </a:ln>
            <a:effectLst/>
          </c:spPr>
          <c:invertIfNegative val="0"/>
          <c:trendline>
            <c:spPr>
              <a:ln w="19050" cap="rnd">
                <a:solidFill>
                  <a:srgbClr val="FF0000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cat>
            <c:numRef>
              <c:f>'Анализ активов'!$AP$1:$AR$1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активов'!$AP$2:$AR$2</c:f>
              <c:numCache>
                <c:formatCode>#,##0</c:formatCode>
                <c:ptCount val="3"/>
                <c:pt idx="0">
                  <c:v>13489</c:v>
                </c:pt>
                <c:pt idx="1">
                  <c:v>11960</c:v>
                </c:pt>
                <c:pt idx="2">
                  <c:v>10864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A1-C64E-814B-8E3A5DBEEE53}"/>
            </c:ext>
          </c:extLst>
        </c:ser>
        <c:ser>
          <c:idx val="1"/>
          <c:order val="1"/>
          <c:tx>
            <c:strRef>
              <c:f>'Анализ активов'!$AO$3</c:f>
              <c:strCache>
                <c:ptCount val="1"/>
                <c:pt idx="0">
                  <c:v>Корпоративные облигации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активов'!$AP$1:$AR$1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активов'!$AP$3:$AR$3</c:f>
              <c:numCache>
                <c:formatCode>#,##0</c:formatCode>
                <c:ptCount val="3"/>
                <c:pt idx="0">
                  <c:v>3285</c:v>
                </c:pt>
                <c:pt idx="1">
                  <c:v>4019</c:v>
                </c:pt>
                <c:pt idx="2">
                  <c:v>3762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A1-C64E-814B-8E3A5DBEE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172687"/>
        <c:axId val="2147112544"/>
      </c:barChart>
      <c:catAx>
        <c:axId val="203172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7112544"/>
        <c:crosses val="autoZero"/>
        <c:auto val="1"/>
        <c:lblAlgn val="ctr"/>
        <c:lblOffset val="100"/>
        <c:noMultiLvlLbl val="0"/>
      </c:catAx>
      <c:valAx>
        <c:axId val="214711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  <a:alpha val="1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172687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'Графики и Структура капитала'!$F$1</c:f>
              <c:strCache>
                <c:ptCount val="1"/>
                <c:pt idx="0">
                  <c:v>EM</c:v>
                </c:pt>
              </c:strCache>
            </c:strRef>
          </c:tx>
          <c:spPr>
            <a:ln w="12700" cap="rnd">
              <a:solidFill>
                <a:srgbClr val="A49AF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'Графики и Структура капитала'!$A$2:$A$6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'Графики и Структура капитала'!$F$2:$F$6</c:f>
              <c:numCache>
                <c:formatCode>0.00</c:formatCode>
                <c:ptCount val="5"/>
                <c:pt idx="0">
                  <c:v>6.8477240732050682</c:v>
                </c:pt>
                <c:pt idx="1">
                  <c:v>7.5585186298076925</c:v>
                </c:pt>
                <c:pt idx="2">
                  <c:v>6.9230048048751902</c:v>
                </c:pt>
                <c:pt idx="3">
                  <c:v>9.9969158718373414</c:v>
                </c:pt>
                <c:pt idx="4">
                  <c:v>7.2990439004855583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5-0841-9911-321B70429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078367"/>
        <c:axId val="1265385599"/>
      </c:lineChart>
      <c:catAx>
        <c:axId val="37307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5385599"/>
        <c:crosses val="autoZero"/>
        <c:auto val="1"/>
        <c:lblAlgn val="ctr"/>
        <c:lblOffset val="100"/>
        <c:noMultiLvlLbl val="0"/>
      </c:catAx>
      <c:valAx>
        <c:axId val="1265385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AD6E0"/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307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300" b="1">
                <a:solidFill>
                  <a:srgbClr val="002060"/>
                </a:solidFill>
              </a:rPr>
              <a:t>Объем облигаций взависимости от кредитного рейтинга</a:t>
            </a:r>
          </a:p>
        </c:rich>
      </c:tx>
      <c:layout>
        <c:manualLayout>
          <c:xMode val="edge"/>
          <c:yMode val="edge"/>
          <c:x val="0.12140040109215572"/>
          <c:y val="2.7454947943689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9.1787793142528107E-2"/>
          <c:y val="0.34799934146610628"/>
          <c:w val="0.85239317721783892"/>
          <c:h val="0.55062804956372124"/>
        </c:manualLayout>
      </c:layout>
      <c:areaChart>
        <c:grouping val="stacked"/>
        <c:varyColors val="0"/>
        <c:ser>
          <c:idx val="0"/>
          <c:order val="0"/>
          <c:tx>
            <c:strRef>
              <c:f>'Анализ активов'!$AO$15</c:f>
              <c:strCache>
                <c:ptCount val="1"/>
                <c:pt idx="0">
                  <c:v>от ruAAA- до ruAAA+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'Анализ активов'!$AP$14:$AR$14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активов'!$AP$15:$AR$15</c:f>
              <c:numCache>
                <c:formatCode>#,##0</c:formatCode>
                <c:ptCount val="3"/>
                <c:pt idx="0" formatCode="General">
                  <c:v>10</c:v>
                </c:pt>
                <c:pt idx="1">
                  <c:v>3004</c:v>
                </c:pt>
                <c:pt idx="2">
                  <c:v>2303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99-CD4F-9561-89E171F3C404}"/>
            </c:ext>
          </c:extLst>
        </c:ser>
        <c:ser>
          <c:idx val="1"/>
          <c:order val="1"/>
          <c:tx>
            <c:strRef>
              <c:f>'Анализ активов'!$AO$16</c:f>
              <c:strCache>
                <c:ptCount val="1"/>
                <c:pt idx="0">
                  <c:v>от ruAA- до ruAA+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'Анализ активов'!$AP$14:$AR$14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активов'!$AP$16:$AR$16</c:f>
              <c:numCache>
                <c:formatCode>General</c:formatCode>
                <c:ptCount val="3"/>
                <c:pt idx="0" formatCode="#,##0">
                  <c:v>2690</c:v>
                </c:pt>
                <c:pt idx="1">
                  <c:v>521</c:v>
                </c:pt>
                <c:pt idx="2">
                  <c:v>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99-CD4F-9561-89E171F3C404}"/>
            </c:ext>
          </c:extLst>
        </c:ser>
        <c:ser>
          <c:idx val="2"/>
          <c:order val="2"/>
          <c:tx>
            <c:strRef>
              <c:f>'Анализ активов'!$AO$17</c:f>
              <c:strCache>
                <c:ptCount val="1"/>
                <c:pt idx="0">
                  <c:v>от ruA- до ruA+</c:v>
                </c:pt>
              </c:strCache>
            </c:strRef>
          </c:tx>
          <c:spPr>
            <a:solidFill>
              <a:srgbClr val="1047FF"/>
            </a:solidFill>
            <a:ln>
              <a:noFill/>
            </a:ln>
            <a:effectLst/>
          </c:spPr>
          <c:cat>
            <c:numRef>
              <c:f>'Анализ активов'!$AP$14:$AR$14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активов'!$AP$17:$AR$17</c:f>
              <c:numCache>
                <c:formatCode>General</c:formatCode>
                <c:ptCount val="3"/>
                <c:pt idx="0">
                  <c:v>414</c:v>
                </c:pt>
                <c:pt idx="1">
                  <c:v>494</c:v>
                </c:pt>
                <c:pt idx="2">
                  <c:v>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99-CD4F-9561-89E171F3C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22448"/>
        <c:axId val="462514240"/>
      </c:areaChart>
      <c:catAx>
        <c:axId val="212212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2514240"/>
        <c:crosses val="autoZero"/>
        <c:auto val="1"/>
        <c:lblAlgn val="ctr"/>
        <c:lblOffset val="100"/>
        <c:noMultiLvlLbl val="0"/>
      </c:catAx>
      <c:valAx>
        <c:axId val="46251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122448"/>
        <c:crosses val="autoZero"/>
        <c:crossBetween val="midCat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648448777507902E-2"/>
          <c:y val="0.14482016648795729"/>
          <c:w val="0.98029125172083131"/>
          <c:h val="0.275733568765230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300" b="1">
                <a:solidFill>
                  <a:srgbClr val="002060"/>
                </a:solidFill>
              </a:rPr>
              <a:t>Оценочный резерв под кредитные убытки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'Анализ активов'!$AO$12</c:f>
              <c:strCache>
                <c:ptCount val="1"/>
                <c:pt idx="0">
                  <c:v>(Оценочный резерв под кредитные убытки)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'Анализ активов'!$AP$11:$AR$11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активов'!$AP$12:$AR$12</c:f>
              <c:numCache>
                <c:formatCode>General</c:formatCode>
                <c:ptCount val="3"/>
                <c:pt idx="0">
                  <c:v>70</c:v>
                </c:pt>
                <c:pt idx="1">
                  <c:v>59</c:v>
                </c:pt>
                <c:pt idx="2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4-F94D-A634-FFFC208C5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059087"/>
        <c:axId val="2140566448"/>
      </c:lineChart>
      <c:catAx>
        <c:axId val="17805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0566448"/>
        <c:crosses val="autoZero"/>
        <c:auto val="1"/>
        <c:lblAlgn val="ctr"/>
        <c:lblOffset val="100"/>
        <c:noMultiLvlLbl val="0"/>
      </c:catAx>
      <c:valAx>
        <c:axId val="2140566448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059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rgbClr val="002060"/>
                </a:solidFill>
              </a:rPr>
              <a:t>Динамика изменения основных средств, НМА и активов в форме права пользования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'Анализ активов'!$BA$2</c:f>
              <c:strCache>
                <c:ptCount val="1"/>
                <c:pt idx="0">
                  <c:v>Основные средства</c:v>
                </c:pt>
              </c:strCache>
            </c:strRef>
          </c:tx>
          <c:spPr>
            <a:ln w="28575" cap="rnd">
              <a:solidFill>
                <a:srgbClr val="EE71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E7100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'Анализ активов'!$BB$1:$BD$1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активов'!$BB$2:$BD$2</c:f>
              <c:numCache>
                <c:formatCode>#,##0</c:formatCode>
                <c:ptCount val="3"/>
                <c:pt idx="0">
                  <c:v>3091</c:v>
                </c:pt>
                <c:pt idx="1">
                  <c:v>3124</c:v>
                </c:pt>
                <c:pt idx="2">
                  <c:v>3957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C-D142-A2ED-782FBC873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794640"/>
        <c:axId val="329039759"/>
      </c:lineChart>
      <c:catAx>
        <c:axId val="98079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9039759"/>
        <c:crosses val="autoZero"/>
        <c:auto val="1"/>
        <c:lblAlgn val="ctr"/>
        <c:lblOffset val="100"/>
        <c:noMultiLvlLbl val="0"/>
      </c:catAx>
      <c:valAx>
        <c:axId val="329039759"/>
        <c:scaling>
          <c:orientation val="minMax"/>
          <c:max val="4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1097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8079464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300" b="1">
                <a:solidFill>
                  <a:srgbClr val="002060"/>
                </a:solidFill>
              </a:rPr>
              <a:t>Соотношение  работающих активов и общих активов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'Анализ активов'!$T$36</c:f>
              <c:strCache>
                <c:ptCount val="1"/>
                <c:pt idx="0">
                  <c:v>Работающие активы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активов'!$U$33:$W$33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активов'!$U$36:$W$36</c:f>
              <c:numCache>
                <c:formatCode>#,##0</c:formatCode>
                <c:ptCount val="3"/>
                <c:pt idx="0">
                  <c:v>81666</c:v>
                </c:pt>
                <c:pt idx="1">
                  <c:v>109005.00000000001</c:v>
                </c:pt>
                <c:pt idx="2">
                  <c:v>121550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A1-A744-B0EE-EEB66D1EBF3D}"/>
            </c:ext>
          </c:extLst>
        </c:ser>
        <c:ser>
          <c:idx val="1"/>
          <c:order val="1"/>
          <c:tx>
            <c:strRef>
              <c:f>'Анализ активов'!$T$37</c:f>
              <c:strCache>
                <c:ptCount val="1"/>
                <c:pt idx="0">
                  <c:v>Всего активов</c:v>
                </c:pt>
              </c:strCache>
            </c:strRef>
          </c:tx>
          <c:spPr>
            <a:solidFill>
              <a:srgbClr val="1047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активов'!$U$33:$W$33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активов'!$U$38:$W$38</c:f>
              <c:numCache>
                <c:formatCode>#,##0</c:formatCode>
                <c:ptCount val="3"/>
                <c:pt idx="0">
                  <c:v>36482</c:v>
                </c:pt>
                <c:pt idx="1">
                  <c:v>66030.999999999985</c:v>
                </c:pt>
                <c:pt idx="2">
                  <c:v>24263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A1-A744-B0EE-EEB66D1EB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9"/>
        <c:overlap val="100"/>
        <c:axId val="331176543"/>
        <c:axId val="1790174160"/>
      </c:barChart>
      <c:catAx>
        <c:axId val="331176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90174160"/>
        <c:crosses val="autoZero"/>
        <c:auto val="1"/>
        <c:lblAlgn val="ctr"/>
        <c:lblOffset val="100"/>
        <c:noMultiLvlLbl val="0"/>
      </c:catAx>
      <c:valAx>
        <c:axId val="17901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1176543"/>
        <c:crosses val="autoZero"/>
        <c:crossBetween val="between"/>
        <c:majorUnit val="30000"/>
        <c:minorUnit val="5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300" b="1">
                <a:solidFill>
                  <a:srgbClr val="002060"/>
                </a:solidFill>
              </a:rPr>
              <a:t>Соотношение объема</a:t>
            </a:r>
            <a:r>
              <a:rPr lang="ru-RU" sz="1300" b="1" baseline="0">
                <a:solidFill>
                  <a:srgbClr val="002060"/>
                </a:solidFill>
              </a:rPr>
              <a:t> средств в других банках и их доходностей</a:t>
            </a:r>
            <a:endParaRPr lang="ru-RU" sz="1300" b="1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'Анализ активов'!$AA$11</c:f>
              <c:strCache>
                <c:ptCount val="1"/>
                <c:pt idx="0">
                  <c:v>Средства в других банках</c:v>
                </c:pt>
              </c:strCache>
            </c:strRef>
          </c:tx>
          <c:spPr>
            <a:solidFill>
              <a:srgbClr val="1047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активов'!$AB$10:$AD$10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активов'!$AB$11:$AD$11</c:f>
              <c:numCache>
                <c:formatCode>#,##0</c:formatCode>
                <c:ptCount val="3"/>
                <c:pt idx="0">
                  <c:v>24098</c:v>
                </c:pt>
                <c:pt idx="1">
                  <c:v>54521</c:v>
                </c:pt>
                <c:pt idx="2">
                  <c:v>9096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1A-4B4B-97F6-8FB0548D6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9322288"/>
        <c:axId val="1308948608"/>
      </c:barChart>
      <c:lineChart>
        <c:grouping val="standard"/>
        <c:varyColors val="0"/>
        <c:ser>
          <c:idx val="1"/>
          <c:order val="1"/>
          <c:tx>
            <c:strRef>
              <c:f>'Анализ активов'!$AA$12</c:f>
              <c:strCache>
                <c:ptCount val="1"/>
                <c:pt idx="0">
                  <c:v>Доходность</c:v>
                </c:pt>
              </c:strCache>
            </c:strRef>
          </c:tx>
          <c:spPr>
            <a:ln w="28575" cap="rnd">
              <a:solidFill>
                <a:srgbClr val="EE71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E7100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'Анализ активов'!$AB$10:$AD$10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активов'!$AB$12:$AD$12</c:f>
              <c:numCache>
                <c:formatCode>0.00%</c:formatCode>
                <c:ptCount val="3"/>
                <c:pt idx="0">
                  <c:v>8.004813677483609E-2</c:v>
                </c:pt>
                <c:pt idx="1">
                  <c:v>3.5784376662203556E-2</c:v>
                </c:pt>
                <c:pt idx="2">
                  <c:v>0.12895778364116095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A-4B4B-97F6-8FB0548D6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859952"/>
        <c:axId val="2035793104"/>
      </c:lineChart>
      <c:catAx>
        <c:axId val="166932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08948608"/>
        <c:crosses val="autoZero"/>
        <c:auto val="1"/>
        <c:lblAlgn val="ctr"/>
        <c:lblOffset val="100"/>
        <c:noMultiLvlLbl val="0"/>
      </c:catAx>
      <c:valAx>
        <c:axId val="1308948608"/>
        <c:scaling>
          <c:orientation val="minMax"/>
          <c:max val="5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69322288"/>
        <c:crosses val="autoZero"/>
        <c:crossBetween val="between"/>
      </c:valAx>
      <c:valAx>
        <c:axId val="2035793104"/>
        <c:scaling>
          <c:orientation val="minMax"/>
        </c:scaling>
        <c:delete val="0"/>
        <c:axPos val="r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93859952"/>
        <c:crosses val="max"/>
        <c:crossBetween val="between"/>
        <c:majorUnit val="0.03"/>
      </c:valAx>
      <c:catAx>
        <c:axId val="1793859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35793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300" b="1">
                <a:solidFill>
                  <a:srgbClr val="002060"/>
                </a:solidFill>
              </a:rPr>
              <a:t>Соотношение объема</a:t>
            </a:r>
            <a:r>
              <a:rPr lang="ru-RU" sz="1300" b="1" baseline="0">
                <a:solidFill>
                  <a:srgbClr val="002060"/>
                </a:solidFill>
              </a:rPr>
              <a:t> кредитного портфеля и его доходности</a:t>
            </a:r>
            <a:endParaRPr lang="ru-RU" sz="1300" b="1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'Анализ активов'!$AH$52</c:f>
              <c:strCache>
                <c:ptCount val="1"/>
                <c:pt idx="0">
                  <c:v>Кредиты и авансы клиентам</c:v>
                </c:pt>
              </c:strCache>
            </c:strRef>
          </c:tx>
          <c:spPr>
            <a:solidFill>
              <a:srgbClr val="1047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активов'!$AI$51:$AK$51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активов'!$AI$52:$AK$52</c:f>
              <c:numCache>
                <c:formatCode>#,##0</c:formatCode>
                <c:ptCount val="3"/>
                <c:pt idx="0">
                  <c:v>63158</c:v>
                </c:pt>
                <c:pt idx="1">
                  <c:v>91163</c:v>
                </c:pt>
                <c:pt idx="2">
                  <c:v>105082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C-2049-BF47-585747F56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3225568"/>
        <c:axId val="1282982656"/>
      </c:barChart>
      <c:lineChart>
        <c:grouping val="standard"/>
        <c:varyColors val="0"/>
        <c:ser>
          <c:idx val="1"/>
          <c:order val="1"/>
          <c:tx>
            <c:strRef>
              <c:f>'Анализ активов'!$AH$53</c:f>
              <c:strCache>
                <c:ptCount val="1"/>
                <c:pt idx="0">
                  <c:v>Доходность</c:v>
                </c:pt>
              </c:strCache>
            </c:strRef>
          </c:tx>
          <c:spPr>
            <a:ln w="28575" cap="rnd">
              <a:solidFill>
                <a:srgbClr val="EE71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E7100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'Анализ активов'!$AI$51:$AK$51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активов'!$AI$53:$AK$53</c:f>
              <c:numCache>
                <c:formatCode>0.00%</c:formatCode>
                <c:ptCount val="3"/>
                <c:pt idx="0">
                  <c:v>0.12912061813230311</c:v>
                </c:pt>
                <c:pt idx="1">
                  <c:v>0.10154338931364698</c:v>
                </c:pt>
                <c:pt idx="2">
                  <c:v>7.5426809539216988E-2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C-2049-BF47-585747F56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595536"/>
        <c:axId val="225669455"/>
      </c:lineChart>
      <c:catAx>
        <c:axId val="128322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2982656"/>
        <c:crosses val="autoZero"/>
        <c:auto val="1"/>
        <c:lblAlgn val="ctr"/>
        <c:lblOffset val="100"/>
        <c:noMultiLvlLbl val="0"/>
      </c:catAx>
      <c:valAx>
        <c:axId val="128298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3225568"/>
        <c:crosses val="autoZero"/>
        <c:crossBetween val="between"/>
      </c:valAx>
      <c:valAx>
        <c:axId val="225669455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3595536"/>
        <c:crosses val="max"/>
        <c:crossBetween val="between"/>
      </c:valAx>
      <c:catAx>
        <c:axId val="1953595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56694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203764"/>
                </a:solidFill>
                <a:latin typeface="+mn-lt"/>
                <a:ea typeface="+mn-ea"/>
                <a:cs typeface="+mn-cs"/>
              </a:defRPr>
            </a:pPr>
            <a:r>
              <a:rPr lang="az-Cyrl-AZ"/>
              <a:t>Анализ динамики обязательств </a:t>
            </a:r>
          </a:p>
        </c:rich>
      </c:tx>
      <c:layout>
        <c:manualLayout>
          <c:xMode val="edge"/>
          <c:yMode val="edge"/>
          <c:x val="0.21395122484689413"/>
          <c:y val="2.8808593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203764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rgbClr val="203764"/>
                </a:solidFill>
                <a:prstDash val="solid"/>
              </a:ln>
              <a:effectLst/>
            </c:spPr>
          </c:marker>
          <c:dLbls>
            <c:spPr>
              <a:noFill/>
              <a:ln>
                <a:solidFill>
                  <a:srgbClr val="203764"/>
                </a:solidFill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03764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'Анализ обязательств'!$U$2:$U$6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'Анализ обязательств'!$V$2:$V$6</c:f>
              <c:numCache>
                <c:formatCode>#,##0</c:formatCode>
                <c:ptCount val="5"/>
                <c:pt idx="0">
                  <c:v>74769</c:v>
                </c:pt>
                <c:pt idx="1">
                  <c:v>87307</c:v>
                </c:pt>
                <c:pt idx="2">
                  <c:v>101082</c:v>
                </c:pt>
                <c:pt idx="3">
                  <c:v>157527</c:v>
                </c:pt>
                <c:pt idx="4">
                  <c:v>125836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B7-48F7-99E1-311B93783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9848968"/>
        <c:axId val="682397704"/>
      </c:lineChart>
      <c:catAx>
        <c:axId val="759848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203764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2397704"/>
        <c:crosses val="autoZero"/>
        <c:auto val="1"/>
        <c:lblAlgn val="ctr"/>
        <c:lblOffset val="100"/>
        <c:noMultiLvlLbl val="0"/>
      </c:catAx>
      <c:valAx>
        <c:axId val="68239770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759848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z-Cyrl-AZ"/>
              <a:t>Структура обязательств (2024)</a:t>
            </a:r>
          </a:p>
        </c:rich>
      </c:tx>
      <c:layout>
        <c:manualLayout>
          <c:xMode val="edge"/>
          <c:yMode val="edge"/>
          <c:x val="0.36509604072036655"/>
          <c:y val="2.023142688679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6C-0B45-B61F-FC1733A010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6C-0B45-B61F-FC1733A010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6C-0B45-B61F-FC1733A010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6C-0B45-B61F-FC1733A0106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6C-0B45-B61F-FC1733A0106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6C-0B45-B61F-FC1733A0106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96C-0B45-B61F-FC1733A0106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96C-0B45-B61F-FC1733A0106E}"/>
              </c:ext>
            </c:extLst>
          </c:dPt>
          <c:dLbls>
            <c:delete val="1"/>
          </c:dLbls>
          <c:cat>
            <c:strRef>
              <c:f>'Анализ обязательств'!$B$3:$B$10</c:f>
              <c:strCache>
                <c:ptCount val="8"/>
                <c:pt idx="0">
                  <c:v>Обязательства по возврату проданного или перезаложенного обеспечения</c:v>
                </c:pt>
                <c:pt idx="1">
                  <c:v>Средства других банков</c:v>
                </c:pt>
                <c:pt idx="2">
                  <c:v>Средства клиентов</c:v>
                </c:pt>
                <c:pt idx="3">
                  <c:v>Выпущенные долговые ценные бумаги</c:v>
                </c:pt>
                <c:pt idx="4">
                  <c:v>Текущие обязательства по налогу на прибыль</c:v>
                </c:pt>
                <c:pt idx="5">
                  <c:v>Прочие финансовые обязательства</c:v>
                </c:pt>
                <c:pt idx="6">
                  <c:v>Прочие обязательства</c:v>
                </c:pt>
                <c:pt idx="7">
                  <c:v>Субординированный долг</c:v>
                </c:pt>
              </c:strCache>
            </c:strRef>
          </c:cat>
          <c:val>
            <c:numRef>
              <c:f>'Анализ обязательств'!$C$3:$C$10</c:f>
              <c:numCache>
                <c:formatCode>#,##0</c:formatCode>
                <c:ptCount val="8"/>
                <c:pt idx="1">
                  <c:v>7276</c:v>
                </c:pt>
                <c:pt idx="2">
                  <c:v>113885</c:v>
                </c:pt>
                <c:pt idx="3" formatCode="General">
                  <c:v>0</c:v>
                </c:pt>
                <c:pt idx="4" formatCode="General">
                  <c:v>30</c:v>
                </c:pt>
                <c:pt idx="5">
                  <c:v>1507</c:v>
                </c:pt>
                <c:pt idx="6">
                  <c:v>3138</c:v>
                </c:pt>
                <c:pt idx="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18-4E2A-B400-B805D8C8C0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z-Cyrl-AZ"/>
              <a:t>Структура об-в (2023)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D8-45E7-A1BE-89F4D508AA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D8-45E7-A1BE-89F4D508AA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D8-45E7-A1BE-89F4D508AA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D8-45E7-A1BE-89F4D508AA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D8-45E7-A1BE-89F4D508AA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AD8-45E7-A1BE-89F4D508AA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AD8-45E7-A1BE-89F4D508AA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AD8-45E7-A1BE-89F4D508AA42}"/>
              </c:ext>
            </c:extLst>
          </c:dPt>
          <c:cat>
            <c:strRef>
              <c:f>'Анализ обязательств'!$B$3:$B$10</c:f>
              <c:strCache>
                <c:ptCount val="8"/>
                <c:pt idx="0">
                  <c:v>Обязательства по возврату проданного или перезаложенного обеспечения</c:v>
                </c:pt>
                <c:pt idx="1">
                  <c:v>Средства других банков</c:v>
                </c:pt>
                <c:pt idx="2">
                  <c:v>Средства клиентов</c:v>
                </c:pt>
                <c:pt idx="3">
                  <c:v>Выпущенные долговые ценные бумаги</c:v>
                </c:pt>
                <c:pt idx="4">
                  <c:v>Текущие обязательства по налогу на прибыль</c:v>
                </c:pt>
                <c:pt idx="5">
                  <c:v>Прочие финансовые обязательства</c:v>
                </c:pt>
                <c:pt idx="6">
                  <c:v>Прочие обязательства</c:v>
                </c:pt>
                <c:pt idx="7">
                  <c:v>Субординированный долг</c:v>
                </c:pt>
              </c:strCache>
            </c:strRef>
          </c:cat>
          <c:val>
            <c:numRef>
              <c:f>'Анализ обязательств'!$F$3:$F$10</c:f>
              <c:numCache>
                <c:formatCode>#,##0</c:formatCode>
                <c:ptCount val="8"/>
                <c:pt idx="1">
                  <c:v>19516</c:v>
                </c:pt>
                <c:pt idx="2">
                  <c:v>134821</c:v>
                </c:pt>
                <c:pt idx="3" formatCode="General">
                  <c:v>0</c:v>
                </c:pt>
                <c:pt idx="4" formatCode="General">
                  <c:v>25</c:v>
                </c:pt>
                <c:pt idx="5">
                  <c:v>1055</c:v>
                </c:pt>
                <c:pt idx="6">
                  <c:v>2110</c:v>
                </c:pt>
                <c:pt idx="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AD8-45E7-A1BE-89F4D508A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z-Cyrl-AZ"/>
              <a:t>Структура об-в (2022)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2A-444F-8F4C-189031D260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2A-444F-8F4C-189031D260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2A-444F-8F4C-189031D260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D2A-444F-8F4C-189031D260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D2A-444F-8F4C-189031D260D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D2A-444F-8F4C-189031D260D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D2A-444F-8F4C-189031D260D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D2A-444F-8F4C-189031D260D7}"/>
              </c:ext>
            </c:extLst>
          </c:dPt>
          <c:cat>
            <c:strRef>
              <c:f>'Анализ обязательств'!$B$3:$B$10</c:f>
              <c:strCache>
                <c:ptCount val="8"/>
                <c:pt idx="0">
                  <c:v>Обязательства по возврату проданного или перезаложенного обеспечения</c:v>
                </c:pt>
                <c:pt idx="1">
                  <c:v>Средства других банков</c:v>
                </c:pt>
                <c:pt idx="2">
                  <c:v>Средства клиентов</c:v>
                </c:pt>
                <c:pt idx="3">
                  <c:v>Выпущенные долговые ценные бумаги</c:v>
                </c:pt>
                <c:pt idx="4">
                  <c:v>Текущие обязательства по налогу на прибыль</c:v>
                </c:pt>
                <c:pt idx="5">
                  <c:v>Прочие финансовые обязательства</c:v>
                </c:pt>
                <c:pt idx="6">
                  <c:v>Прочие обязательства</c:v>
                </c:pt>
                <c:pt idx="7">
                  <c:v>Субординированный долг</c:v>
                </c:pt>
              </c:strCache>
            </c:strRef>
          </c:cat>
          <c:val>
            <c:numRef>
              <c:f>'Анализ обязательств'!$I$3:$I$10</c:f>
              <c:numCache>
                <c:formatCode>#,##0</c:formatCode>
                <c:ptCount val="8"/>
                <c:pt idx="1">
                  <c:v>4458</c:v>
                </c:pt>
                <c:pt idx="2">
                  <c:v>93867</c:v>
                </c:pt>
                <c:pt idx="3" formatCode="General">
                  <c:v>0</c:v>
                </c:pt>
                <c:pt idx="4" formatCode="General">
                  <c:v>0</c:v>
                </c:pt>
                <c:pt idx="5">
                  <c:v>1109</c:v>
                </c:pt>
                <c:pt idx="6">
                  <c:v>1648</c:v>
                </c:pt>
                <c:pt idx="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2A-444F-8F4C-189031D26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'Графики и Структура капитала'!$G$1</c:f>
              <c:strCache>
                <c:ptCount val="1"/>
                <c:pt idx="0">
                  <c:v>LEV</c:v>
                </c:pt>
              </c:strCache>
            </c:strRef>
          </c:tx>
          <c:spPr>
            <a:ln w="15875" cap="rnd">
              <a:solidFill>
                <a:srgbClr val="A49AF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'Графики и Структура капитала'!$A$2:$A$6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'Графики и Структура капитала'!$G$2:$G$6</c:f>
              <c:numCache>
                <c:formatCode>0.00</c:formatCode>
                <c:ptCount val="5"/>
                <c:pt idx="0">
                  <c:v>5.8477240732050682</c:v>
                </c:pt>
                <c:pt idx="1">
                  <c:v>6.5585186298076925</c:v>
                </c:pt>
                <c:pt idx="2">
                  <c:v>5.9230048048751902</c:v>
                </c:pt>
                <c:pt idx="3">
                  <c:v>8.9969158718373414</c:v>
                </c:pt>
                <c:pt idx="4">
                  <c:v>6.2990439004855583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8-DC40-BC3B-7E3F6FCBE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078367"/>
        <c:axId val="1265385599"/>
      </c:lineChart>
      <c:catAx>
        <c:axId val="37307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5385599"/>
        <c:crosses val="autoZero"/>
        <c:auto val="1"/>
        <c:lblAlgn val="ctr"/>
        <c:lblOffset val="100"/>
        <c:noMultiLvlLbl val="0"/>
      </c:catAx>
      <c:valAx>
        <c:axId val="1265385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AD6E0"/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307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z-Cyrl-AZ"/>
              <a:t>Структура об-в (2021)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AF-48A2-B24C-BF31B68B8C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9AF-48A2-B24C-BF31B68B8C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9AF-48A2-B24C-BF31B68B8C8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9AF-48A2-B24C-BF31B68B8C8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9AF-48A2-B24C-BF31B68B8C8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9AF-48A2-B24C-BF31B68B8C8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9AF-48A2-B24C-BF31B68B8C8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9AF-48A2-B24C-BF31B68B8C80}"/>
              </c:ext>
            </c:extLst>
          </c:dPt>
          <c:cat>
            <c:strRef>
              <c:f>'Анализ обязательств'!$B$3:$B$10</c:f>
              <c:strCache>
                <c:ptCount val="8"/>
                <c:pt idx="0">
                  <c:v>Обязательства по возврату проданного или перезаложенного обеспечения</c:v>
                </c:pt>
                <c:pt idx="1">
                  <c:v>Средства других банков</c:v>
                </c:pt>
                <c:pt idx="2">
                  <c:v>Средства клиентов</c:v>
                </c:pt>
                <c:pt idx="3">
                  <c:v>Выпущенные долговые ценные бумаги</c:v>
                </c:pt>
                <c:pt idx="4">
                  <c:v>Текущие обязательства по налогу на прибыль</c:v>
                </c:pt>
                <c:pt idx="5">
                  <c:v>Прочие финансовые обязательства</c:v>
                </c:pt>
                <c:pt idx="6">
                  <c:v>Прочие обязательства</c:v>
                </c:pt>
                <c:pt idx="7">
                  <c:v>Субординированный долг</c:v>
                </c:pt>
              </c:strCache>
            </c:strRef>
          </c:cat>
          <c:val>
            <c:numRef>
              <c:f>'Анализ обязательств'!$L$3:$L$10</c:f>
              <c:numCache>
                <c:formatCode>#,##0</c:formatCode>
                <c:ptCount val="8"/>
                <c:pt idx="1">
                  <c:v>3895</c:v>
                </c:pt>
                <c:pt idx="2">
                  <c:v>80142</c:v>
                </c:pt>
                <c:pt idx="3" formatCode="General">
                  <c:v>0</c:v>
                </c:pt>
                <c:pt idx="4" formatCode="General">
                  <c:v>0</c:v>
                </c:pt>
                <c:pt idx="5">
                  <c:v>2509</c:v>
                </c:pt>
                <c:pt idx="6" formatCode="General">
                  <c:v>761</c:v>
                </c:pt>
                <c:pt idx="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9AF-48A2-B24C-BF31B68B8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z-Cyrl-AZ"/>
              <a:t>Структура об-в (2020)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01-4A2E-95BD-56A84A80FC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01-4A2E-95BD-56A84A80FC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201-4A2E-95BD-56A84A80FCC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201-4A2E-95BD-56A84A80FCC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201-4A2E-95BD-56A84A80FCC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201-4A2E-95BD-56A84A80FCC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201-4A2E-95BD-56A84A80FCC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201-4A2E-95BD-56A84A80FCCE}"/>
              </c:ext>
            </c:extLst>
          </c:dPt>
          <c:cat>
            <c:strRef>
              <c:f>'Анализ обязательств'!$B$3:$B$10</c:f>
              <c:strCache>
                <c:ptCount val="8"/>
                <c:pt idx="0">
                  <c:v>Обязательства по возврату проданного или перезаложенного обеспечения</c:v>
                </c:pt>
                <c:pt idx="1">
                  <c:v>Средства других банков</c:v>
                </c:pt>
                <c:pt idx="2">
                  <c:v>Средства клиентов</c:v>
                </c:pt>
                <c:pt idx="3">
                  <c:v>Выпущенные долговые ценные бумаги</c:v>
                </c:pt>
                <c:pt idx="4">
                  <c:v>Текущие обязательства по налогу на прибыль</c:v>
                </c:pt>
                <c:pt idx="5">
                  <c:v>Прочие финансовые обязательства</c:v>
                </c:pt>
                <c:pt idx="6">
                  <c:v>Прочие обязательства</c:v>
                </c:pt>
                <c:pt idx="7">
                  <c:v>Субординированный долг</c:v>
                </c:pt>
              </c:strCache>
            </c:strRef>
          </c:cat>
          <c:val>
            <c:numRef>
              <c:f>'Анализ обязательств'!$O$3:$O$10</c:f>
              <c:numCache>
                <c:formatCode>General</c:formatCode>
                <c:ptCount val="8"/>
                <c:pt idx="1">
                  <c:v>470</c:v>
                </c:pt>
                <c:pt idx="2" formatCode="#,##0">
                  <c:v>71880</c:v>
                </c:pt>
                <c:pt idx="3">
                  <c:v>102</c:v>
                </c:pt>
                <c:pt idx="4">
                  <c:v>11</c:v>
                </c:pt>
                <c:pt idx="5">
                  <c:v>411</c:v>
                </c:pt>
                <c:pt idx="6">
                  <c:v>395</c:v>
                </c:pt>
                <c:pt idx="7" formatCode="#,##0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201-4A2E-95BD-56A84A80F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z-Cyrl-AZ"/>
              <a:t>Структура прочих финансовых обязательств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01.07.2024</c:v>
          </c:tx>
          <c:spPr>
            <a:solidFill>
              <a:srgbClr val="F4B084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'Анализ обязательств'!$B$18:$B$23</c:f>
              <c:strCache>
                <c:ptCount val="6"/>
                <c:pt idx="0">
                  <c:v>Обязательства по аренде</c:v>
                </c:pt>
                <c:pt idx="1">
                  <c:v>Незавершенные расчеты</c:v>
                </c:pt>
                <c:pt idx="2">
                  <c:v>Обязательства по программе лояльности</c:v>
                </c:pt>
                <c:pt idx="3">
                  <c:v>Производные финансовые обязательства</c:v>
                </c:pt>
                <c:pt idx="4">
                  <c:v>Кредиторская задолженность</c:v>
                </c:pt>
                <c:pt idx="5">
                  <c:v>Расчеты с операторами услуг платежной инфраструктуры</c:v>
                </c:pt>
              </c:strCache>
            </c:strRef>
          </c:cat>
          <c:val>
            <c:numRef>
              <c:f>'Анализ обязательств'!$C$18:$C$23</c:f>
              <c:numCache>
                <c:formatCode>General</c:formatCode>
                <c:ptCount val="6"/>
                <c:pt idx="0" formatCode="#,##0">
                  <c:v>1015</c:v>
                </c:pt>
                <c:pt idx="1">
                  <c:v>168</c:v>
                </c:pt>
                <c:pt idx="2">
                  <c:v>131</c:v>
                </c:pt>
                <c:pt idx="3">
                  <c:v>82</c:v>
                </c:pt>
                <c:pt idx="4">
                  <c:v>64</c:v>
                </c:pt>
                <c:pt idx="5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5D9-4268-B437-B51A9A6663E9}"/>
            </c:ext>
          </c:extLst>
        </c:ser>
        <c:ser>
          <c:idx val="1"/>
          <c:order val="1"/>
          <c:tx>
            <c:v>31.12.2023</c:v>
          </c:tx>
          <c:spPr>
            <a:solidFill>
              <a:srgbClr val="305496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'Анализ обязательств'!$B$18:$B$23</c:f>
              <c:strCache>
                <c:ptCount val="6"/>
                <c:pt idx="0">
                  <c:v>Обязательства по аренде</c:v>
                </c:pt>
                <c:pt idx="1">
                  <c:v>Незавершенные расчеты</c:v>
                </c:pt>
                <c:pt idx="2">
                  <c:v>Обязательства по программе лояльности</c:v>
                </c:pt>
                <c:pt idx="3">
                  <c:v>Производные финансовые обязательства</c:v>
                </c:pt>
                <c:pt idx="4">
                  <c:v>Кредиторская задолженность</c:v>
                </c:pt>
                <c:pt idx="5">
                  <c:v>Расчеты с операторами услуг платежной инфраструктуры</c:v>
                </c:pt>
              </c:strCache>
            </c:strRef>
          </c:cat>
          <c:val>
            <c:numRef>
              <c:f>'Анализ обязательств'!$D$18:$D$23</c:f>
              <c:numCache>
                <c:formatCode>General</c:formatCode>
                <c:ptCount val="6"/>
                <c:pt idx="0">
                  <c:v>818</c:v>
                </c:pt>
                <c:pt idx="1">
                  <c:v>0</c:v>
                </c:pt>
                <c:pt idx="2">
                  <c:v>102</c:v>
                </c:pt>
                <c:pt idx="3">
                  <c:v>19</c:v>
                </c:pt>
                <c:pt idx="4">
                  <c:v>76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22-4706-ADF5-9A1B2BB91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axId val="2033301511"/>
        <c:axId val="2033721351"/>
      </c:barChart>
      <c:catAx>
        <c:axId val="2033301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3721351"/>
        <c:crosses val="autoZero"/>
        <c:auto val="1"/>
        <c:lblAlgn val="ctr"/>
        <c:lblOffset val="100"/>
        <c:noMultiLvlLbl val="0"/>
      </c:catAx>
      <c:valAx>
        <c:axId val="20337213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crossAx val="2033301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z-Cyrl-AZ"/>
              <a:t>Структура прочих обязательств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01.07.2024</c:v>
          </c:tx>
          <c:spPr>
            <a:solidFill>
              <a:srgbClr val="F4B084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'Анализ обязательств'!$B$29:$B$34</c:f>
              <c:strCache>
                <c:ptCount val="6"/>
                <c:pt idx="0">
                  <c:v>Расчеты по выданным банковским гарантиям</c:v>
                </c:pt>
                <c:pt idx="1">
                  <c:v>Начисленные затраты на вознаграждения работникам</c:v>
                </c:pt>
                <c:pt idx="2">
                  <c:v>Налоги к уплате за исключением налога на прибыль</c:v>
                </c:pt>
                <c:pt idx="3">
                  <c:v>Расчеты по социальному страхованию и обеспечению</c:v>
                </c:pt>
                <c:pt idx="4">
                  <c:v>Резерв по условным обязательствам</c:v>
                </c:pt>
                <c:pt idx="5">
                  <c:v>Прочее</c:v>
                </c:pt>
              </c:strCache>
            </c:strRef>
          </c:cat>
          <c:val>
            <c:numRef>
              <c:f>'Анализ обязательств'!$C$29:$C$34</c:f>
              <c:numCache>
                <c:formatCode>#,##0</c:formatCode>
                <c:ptCount val="6"/>
                <c:pt idx="0">
                  <c:v>1401</c:v>
                </c:pt>
                <c:pt idx="1">
                  <c:v>1091</c:v>
                </c:pt>
                <c:pt idx="2" formatCode="General">
                  <c:v>252</c:v>
                </c:pt>
                <c:pt idx="3" formatCode="General">
                  <c:v>151</c:v>
                </c:pt>
                <c:pt idx="4" formatCode="General">
                  <c:v>126</c:v>
                </c:pt>
                <c:pt idx="5" formatCode="General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122-ADC5-1A39246BC9F2}"/>
            </c:ext>
          </c:extLst>
        </c:ser>
        <c:ser>
          <c:idx val="1"/>
          <c:order val="1"/>
          <c:tx>
            <c:v>31.12.2023</c:v>
          </c:tx>
          <c:spPr>
            <a:solidFill>
              <a:srgbClr val="305496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'Анализ обязательств'!$B$29:$B$34</c:f>
              <c:strCache>
                <c:ptCount val="6"/>
                <c:pt idx="0">
                  <c:v>Расчеты по выданным банковским гарантиям</c:v>
                </c:pt>
                <c:pt idx="1">
                  <c:v>Начисленные затраты на вознаграждения работникам</c:v>
                </c:pt>
                <c:pt idx="2">
                  <c:v>Налоги к уплате за исключением налога на прибыль</c:v>
                </c:pt>
                <c:pt idx="3">
                  <c:v>Расчеты по социальному страхованию и обеспечению</c:v>
                </c:pt>
                <c:pt idx="4">
                  <c:v>Резерв по условным обязательствам</c:v>
                </c:pt>
                <c:pt idx="5">
                  <c:v>Прочее</c:v>
                </c:pt>
              </c:strCache>
            </c:strRef>
          </c:cat>
          <c:val>
            <c:numRef>
              <c:f>'Анализ обязательств'!$D$29:$D$34</c:f>
              <c:numCache>
                <c:formatCode>General</c:formatCode>
                <c:ptCount val="6"/>
                <c:pt idx="0" formatCode="#,##0">
                  <c:v>1070</c:v>
                </c:pt>
                <c:pt idx="1">
                  <c:v>600</c:v>
                </c:pt>
                <c:pt idx="2">
                  <c:v>175</c:v>
                </c:pt>
                <c:pt idx="3">
                  <c:v>45</c:v>
                </c:pt>
                <c:pt idx="4">
                  <c:v>178</c:v>
                </c:pt>
                <c:pt idx="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A-4122-ADC5-1A39246BC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axId val="2033301511"/>
        <c:axId val="2033721351"/>
      </c:barChart>
      <c:catAx>
        <c:axId val="2033301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3721351"/>
        <c:crosses val="autoZero"/>
        <c:auto val="1"/>
        <c:lblAlgn val="ctr"/>
        <c:lblOffset val="100"/>
        <c:noMultiLvlLbl val="0"/>
      </c:catAx>
      <c:valAx>
        <c:axId val="20337213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crossAx val="2033301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az-Cyrl-AZ"/>
              <a:t>Структура привлеченных средств (2024 г)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D5-431E-BED4-39C0DF65DD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D5-431E-BED4-39C0DF65DD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DD5-431E-BED4-39C0DF65DD4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DD5-431E-BED4-39C0DF65DD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'Анализ обязательств'!$N$56:$N$59</c:f>
              <c:strCache>
                <c:ptCount val="4"/>
                <c:pt idx="0">
                  <c:v>Счета других банков </c:v>
                </c:pt>
                <c:pt idx="1">
                  <c:v>Выпущенные долговые 
ценные бумаги</c:v>
                </c:pt>
                <c:pt idx="2">
                  <c:v>Средства физ. лиц</c:v>
                </c:pt>
                <c:pt idx="3">
                  <c:v>Средства юр. лиц</c:v>
                </c:pt>
              </c:strCache>
            </c:strRef>
          </c:cat>
          <c:val>
            <c:numRef>
              <c:f>'Анализ обязательств'!$O$56:$O$59</c:f>
              <c:numCache>
                <c:formatCode>General</c:formatCode>
                <c:ptCount val="4"/>
                <c:pt idx="0" formatCode="#,##0">
                  <c:v>7276</c:v>
                </c:pt>
                <c:pt idx="1">
                  <c:v>0</c:v>
                </c:pt>
                <c:pt idx="2" formatCode="#,##0">
                  <c:v>27665</c:v>
                </c:pt>
                <c:pt idx="3" formatCode="#,##0">
                  <c:v>86220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DD5-431E-BED4-39C0DF65D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az-Cyrl-AZ"/>
              <a:t>Структура привлеченных средств (2023 г)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F9-45B1-8617-F140CA2998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F9-45B1-8617-F140CA2998F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F9-45B1-8617-F140CA2998F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F9-45B1-8617-F140CA2998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'Анализ обязательств'!$N$56:$N$59</c:f>
              <c:strCache>
                <c:ptCount val="4"/>
                <c:pt idx="0">
                  <c:v>Счета других банков </c:v>
                </c:pt>
                <c:pt idx="1">
                  <c:v>Выпущенные долговые 
ценные бумаги</c:v>
                </c:pt>
                <c:pt idx="2">
                  <c:v>Средства физ. лиц</c:v>
                </c:pt>
                <c:pt idx="3">
                  <c:v>Средства юр. лиц</c:v>
                </c:pt>
              </c:strCache>
            </c:strRef>
          </c:cat>
          <c:val>
            <c:numRef>
              <c:f>'Анализ обязательств'!$P$56:$P$59</c:f>
              <c:numCache>
                <c:formatCode>General</c:formatCode>
                <c:ptCount val="4"/>
                <c:pt idx="0" formatCode="#,##0">
                  <c:v>19516</c:v>
                </c:pt>
                <c:pt idx="1">
                  <c:v>0</c:v>
                </c:pt>
                <c:pt idx="2" formatCode="#,##0">
                  <c:v>107305</c:v>
                </c:pt>
                <c:pt idx="3" formatCode="#,##0">
                  <c:v>27516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F9-45B1-8617-F140CA299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203764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az-Cyrl-AZ"/>
              <a:t>Депозитная база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203764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01.07.2024</c:v>
          </c:tx>
          <c:spPr>
            <a:solidFill>
              <a:srgbClr val="F4B084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'Анализ обязательств'!$Q$76:$Q$79</c:f>
              <c:strCache>
                <c:ptCount val="4"/>
                <c:pt idx="0">
                  <c:v>﻿Расчетные 
счета юр. лиц</c:v>
                </c:pt>
                <c:pt idx="1">
                  <c:v>﻿﻿Срочные 
депозиты юр. лиц</c:v>
                </c:pt>
                <c:pt idx="2">
                  <c:v>Текущие
 счета физ.лиц</c:v>
                </c:pt>
                <c:pt idx="3">
                  <c:v>Срочные
 вклады физ. лиц</c:v>
                </c:pt>
              </c:strCache>
            </c:strRef>
          </c:cat>
          <c:val>
            <c:numRef>
              <c:f>'Анализ обязательств'!$R$76:$R$79</c:f>
              <c:numCache>
                <c:formatCode>#,##0</c:formatCode>
                <c:ptCount val="4"/>
                <c:pt idx="0">
                  <c:v>16177</c:v>
                </c:pt>
                <c:pt idx="1">
                  <c:v>70043</c:v>
                </c:pt>
                <c:pt idx="2">
                  <c:v>8883</c:v>
                </c:pt>
                <c:pt idx="3">
                  <c:v>18782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6E-4B5B-9711-D0B520D251C4}"/>
            </c:ext>
          </c:extLst>
        </c:ser>
        <c:ser>
          <c:idx val="1"/>
          <c:order val="1"/>
          <c:tx>
            <c:v>31.12.2023</c:v>
          </c:tx>
          <c:spPr>
            <a:solidFill>
              <a:srgbClr val="305496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'Анализ обязательств'!$Q$76:$Q$79</c:f>
              <c:strCache>
                <c:ptCount val="4"/>
                <c:pt idx="0">
                  <c:v>﻿Расчетные 
счета юр. лиц</c:v>
                </c:pt>
                <c:pt idx="1">
                  <c:v>﻿﻿Срочные 
депозиты юр. лиц</c:v>
                </c:pt>
                <c:pt idx="2">
                  <c:v>Текущие
 счета физ.лиц</c:v>
                </c:pt>
                <c:pt idx="3">
                  <c:v>Срочные
 вклады физ. лиц</c:v>
                </c:pt>
              </c:strCache>
            </c:strRef>
          </c:cat>
          <c:val>
            <c:numRef>
              <c:f>'Анализ обязательств'!$S$76:$S$79</c:f>
              <c:numCache>
                <c:formatCode>#,##0</c:formatCode>
                <c:ptCount val="4"/>
                <c:pt idx="0">
                  <c:v>49938</c:v>
                </c:pt>
                <c:pt idx="1">
                  <c:v>57367</c:v>
                </c:pt>
                <c:pt idx="2">
                  <c:v>7230</c:v>
                </c:pt>
                <c:pt idx="3">
                  <c:v>20286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6E-4B5B-9711-D0B520D251C4}"/>
            </c:ext>
          </c:extLst>
        </c:ser>
        <c:ser>
          <c:idx val="2"/>
          <c:order val="2"/>
          <c:tx>
            <c:v>31.12.2022</c:v>
          </c:tx>
          <c:spPr>
            <a:solidFill>
              <a:srgbClr val="AEAAAA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'Анализ обязательств'!$Q$76:$Q$79</c:f>
              <c:strCache>
                <c:ptCount val="4"/>
                <c:pt idx="0">
                  <c:v>﻿Расчетные 
счета юр. лиц</c:v>
                </c:pt>
                <c:pt idx="1">
                  <c:v>﻿﻿Срочные 
депозиты юр. лиц</c:v>
                </c:pt>
                <c:pt idx="2">
                  <c:v>Текущие
 счета физ.лиц</c:v>
                </c:pt>
                <c:pt idx="3">
                  <c:v>Срочные
 вклады физ. лиц</c:v>
                </c:pt>
              </c:strCache>
            </c:strRef>
          </c:cat>
          <c:val>
            <c:numRef>
              <c:f>'Анализ обязательств'!$T$76:$T$79</c:f>
              <c:numCache>
                <c:formatCode>#,##0</c:formatCode>
                <c:ptCount val="4"/>
                <c:pt idx="0">
                  <c:v>11158</c:v>
                </c:pt>
                <c:pt idx="1">
                  <c:v>59078</c:v>
                </c:pt>
                <c:pt idx="2">
                  <c:v>4442</c:v>
                </c:pt>
                <c:pt idx="3">
                  <c:v>19189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6E-4B5B-9711-D0B520D25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033301511"/>
        <c:axId val="2033721351"/>
      </c:barChart>
      <c:catAx>
        <c:axId val="2033301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203764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033721351"/>
        <c:crosses val="autoZero"/>
        <c:auto val="1"/>
        <c:lblAlgn val="ctr"/>
        <c:lblOffset val="100"/>
        <c:noMultiLvlLbl val="0"/>
      </c:catAx>
      <c:valAx>
        <c:axId val="2033721351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033301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z-Cyrl-AZ"/>
              <a:t>Структура обязательств (2023)</a:t>
            </a:r>
          </a:p>
        </c:rich>
      </c:tx>
      <c:layout>
        <c:manualLayout>
          <c:xMode val="edge"/>
          <c:yMode val="edge"/>
          <c:x val="0.36509604072036655"/>
          <c:y val="2.023142688679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55-492C-BC14-443BEB53F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55-492C-BC14-443BEB53F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55-492C-BC14-443BEB53F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55-492C-BC14-443BEB53F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655-492C-BC14-443BEB53FB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655-492C-BC14-443BEB53FB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655-492C-BC14-443BEB53FB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655-492C-BC14-443BEB53FB69}"/>
              </c:ext>
            </c:extLst>
          </c:dPt>
          <c:cat>
            <c:strRef>
              <c:f>'Анализ обязательств'!$B$3:$B$10</c:f>
              <c:strCache>
                <c:ptCount val="8"/>
                <c:pt idx="0">
                  <c:v>Обязательства по возврату проданного или перезаложенного обеспечения</c:v>
                </c:pt>
                <c:pt idx="1">
                  <c:v>Средства других банков</c:v>
                </c:pt>
                <c:pt idx="2">
                  <c:v>Средства клиентов</c:v>
                </c:pt>
                <c:pt idx="3">
                  <c:v>Выпущенные долговые ценные бумаги</c:v>
                </c:pt>
                <c:pt idx="4">
                  <c:v>Текущие обязательства по налогу на прибыль</c:v>
                </c:pt>
                <c:pt idx="5">
                  <c:v>Прочие финансовые обязательства</c:v>
                </c:pt>
                <c:pt idx="6">
                  <c:v>Прочие обязательства</c:v>
                </c:pt>
                <c:pt idx="7">
                  <c:v>Субординированный долг</c:v>
                </c:pt>
              </c:strCache>
            </c:strRef>
          </c:cat>
          <c:val>
            <c:numRef>
              <c:f>'Анализ обязательств'!$F$3:$F$10</c:f>
              <c:numCache>
                <c:formatCode>#,##0</c:formatCode>
                <c:ptCount val="8"/>
                <c:pt idx="1">
                  <c:v>19516</c:v>
                </c:pt>
                <c:pt idx="2">
                  <c:v>134821</c:v>
                </c:pt>
                <c:pt idx="3" formatCode="General">
                  <c:v>0</c:v>
                </c:pt>
                <c:pt idx="4" formatCode="General">
                  <c:v>25</c:v>
                </c:pt>
                <c:pt idx="5">
                  <c:v>1055</c:v>
                </c:pt>
                <c:pt idx="6">
                  <c:v>2110</c:v>
                </c:pt>
                <c:pt idx="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655-492C-BC14-443BEB53F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z-Cyrl-AZ"/>
              <a:t>Структура обязательств (2022)</a:t>
            </a:r>
          </a:p>
        </c:rich>
      </c:tx>
      <c:layout>
        <c:manualLayout>
          <c:xMode val="edge"/>
          <c:yMode val="edge"/>
          <c:x val="0.36509604072036655"/>
          <c:y val="2.023142688679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AB-4062-9CA9-8858358899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AB-4062-9CA9-8858358899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AB-4062-9CA9-8858358899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EAB-4062-9CA9-8858358899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EAB-4062-9CA9-8858358899D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EAB-4062-9CA9-8858358899D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EAB-4062-9CA9-8858358899D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EAB-4062-9CA9-8858358899D3}"/>
              </c:ext>
            </c:extLst>
          </c:dPt>
          <c:cat>
            <c:strRef>
              <c:f>'Анализ обязательств'!$B$3:$B$10</c:f>
              <c:strCache>
                <c:ptCount val="8"/>
                <c:pt idx="0">
                  <c:v>Обязательства по возврату проданного или перезаложенного обеспечения</c:v>
                </c:pt>
                <c:pt idx="1">
                  <c:v>Средства других банков</c:v>
                </c:pt>
                <c:pt idx="2">
                  <c:v>Средства клиентов</c:v>
                </c:pt>
                <c:pt idx="3">
                  <c:v>Выпущенные долговые ценные бумаги</c:v>
                </c:pt>
                <c:pt idx="4">
                  <c:v>Текущие обязательства по налогу на прибыль</c:v>
                </c:pt>
                <c:pt idx="5">
                  <c:v>Прочие финансовые обязательства</c:v>
                </c:pt>
                <c:pt idx="6">
                  <c:v>Прочие обязательства</c:v>
                </c:pt>
                <c:pt idx="7">
                  <c:v>Субординированный долг</c:v>
                </c:pt>
              </c:strCache>
            </c:strRef>
          </c:cat>
          <c:val>
            <c:numRef>
              <c:f>'Анализ обязательств'!$I$3:$I$10</c:f>
              <c:numCache>
                <c:formatCode>#,##0</c:formatCode>
                <c:ptCount val="8"/>
                <c:pt idx="1">
                  <c:v>4458</c:v>
                </c:pt>
                <c:pt idx="2">
                  <c:v>93867</c:v>
                </c:pt>
                <c:pt idx="3" formatCode="General">
                  <c:v>0</c:v>
                </c:pt>
                <c:pt idx="4" formatCode="General">
                  <c:v>0</c:v>
                </c:pt>
                <c:pt idx="5">
                  <c:v>1109</c:v>
                </c:pt>
                <c:pt idx="6">
                  <c:v>1648</c:v>
                </c:pt>
                <c:pt idx="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EAB-4062-9CA9-885835889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'Детализация доходов и расходов '!$A$3</c:f>
              <c:strCache>
                <c:ptCount val="1"/>
                <c:pt idx="0">
                  <c:v>Процентные доходы рассчитанные по методу эффективной процентной ставки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'Детализация доходов и расходов '!$B$2:$G$2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'Детализация доходов и расходов '!$B$3:$G$3</c:f>
              <c:numCache>
                <c:formatCode>General</c:formatCode>
                <c:ptCount val="6"/>
                <c:pt idx="0">
                  <c:v>9142</c:v>
                </c:pt>
                <c:pt idx="1">
                  <c:v>7510</c:v>
                </c:pt>
                <c:pt idx="2">
                  <c:v>7413</c:v>
                </c:pt>
                <c:pt idx="3">
                  <c:v>11966</c:v>
                </c:pt>
                <c:pt idx="4">
                  <c:v>12693</c:v>
                </c:pt>
                <c:pt idx="5">
                  <c:v>10316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D-41D7-AF8B-BB422111F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95240"/>
        <c:axId val="43297288"/>
      </c:lineChart>
      <c:catAx>
        <c:axId val="4329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297288"/>
        <c:crosses val="autoZero"/>
        <c:auto val="1"/>
        <c:lblAlgn val="ctr"/>
        <c:lblOffset val="100"/>
        <c:noMultiLvlLbl val="0"/>
      </c:catAx>
      <c:valAx>
        <c:axId val="4329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29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'Графики и Структура капитала'!$H$1</c:f>
              <c:strCache>
                <c:ptCount val="1"/>
                <c:pt idx="0">
                  <c:v>ROE</c:v>
                </c:pt>
              </c:strCache>
            </c:strRef>
          </c:tx>
          <c:spPr>
            <a:ln w="12700" cap="rnd">
              <a:solidFill>
                <a:srgbClr val="A49AF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'Графики и Структура капитала'!$A$2:$A$6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'Графики и Структура капитала'!$H$2:$H$6</c:f>
              <c:numCache>
                <c:formatCode>0.00%</c:formatCode>
                <c:ptCount val="5"/>
                <c:pt idx="0">
                  <c:v>2.1429688722039732E-2</c:v>
                </c:pt>
                <c:pt idx="1">
                  <c:v>5.5063100961538464E-2</c:v>
                </c:pt>
                <c:pt idx="2">
                  <c:v>2.5372084847064338E-2</c:v>
                </c:pt>
                <c:pt idx="3">
                  <c:v>1.8504768975955224E-2</c:v>
                </c:pt>
                <c:pt idx="4">
                  <c:v>2.9383791360064075E-2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8-C049-8274-CA29B4551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078367"/>
        <c:axId val="1265385599"/>
      </c:lineChart>
      <c:catAx>
        <c:axId val="37307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5385599"/>
        <c:crosses val="autoZero"/>
        <c:auto val="1"/>
        <c:lblAlgn val="ctr"/>
        <c:lblOffset val="100"/>
        <c:noMultiLvlLbl val="0"/>
      </c:catAx>
      <c:valAx>
        <c:axId val="1265385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AD6E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307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'Детализация доходов и расходов '!$A$10</c:f>
              <c:strCache>
                <c:ptCount val="1"/>
                <c:pt idx="0">
                  <c:v>Процентные расходы рассчитанные по методу эффективной процентной ставки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'Детализация доходов и расходов '!$B$2:$G$2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'Детализация доходов и расходов '!$B$10:$G$10</c:f>
              <c:numCache>
                <c:formatCode>General</c:formatCode>
                <c:ptCount val="6"/>
                <c:pt idx="0">
                  <c:v>-5021</c:v>
                </c:pt>
                <c:pt idx="1">
                  <c:v>-3880</c:v>
                </c:pt>
                <c:pt idx="2">
                  <c:v>-2969</c:v>
                </c:pt>
                <c:pt idx="3">
                  <c:v>-6270</c:v>
                </c:pt>
                <c:pt idx="4">
                  <c:v>-6434</c:v>
                </c:pt>
                <c:pt idx="5">
                  <c:v>-6082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D-44CB-98C9-FC9981B18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813384"/>
        <c:axId val="67815432"/>
      </c:lineChart>
      <c:catAx>
        <c:axId val="67813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815432"/>
        <c:crosses val="autoZero"/>
        <c:auto val="1"/>
        <c:lblAlgn val="ctr"/>
        <c:lblOffset val="100"/>
        <c:noMultiLvlLbl val="0"/>
      </c:catAx>
      <c:valAx>
        <c:axId val="67815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813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'Детализация доходов и расходов '!$A$21</c:f>
              <c:strCache>
                <c:ptCount val="1"/>
                <c:pt idx="0">
                  <c:v>Чистые процентные доходы после создания резерва под ожидаемые кредитные убытки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'Детализация доходов и расходов '!$B$2:$G$2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'Детализация доходов и расходов '!$B$21:$G$21</c:f>
              <c:numCache>
                <c:formatCode>General</c:formatCode>
                <c:ptCount val="6"/>
                <c:pt idx="0">
                  <c:v>4296</c:v>
                </c:pt>
                <c:pt idx="1">
                  <c:v>2870</c:v>
                </c:pt>
                <c:pt idx="2">
                  <c:v>4401</c:v>
                </c:pt>
                <c:pt idx="3">
                  <c:v>4709</c:v>
                </c:pt>
                <c:pt idx="4">
                  <c:v>5504</c:v>
                </c:pt>
                <c:pt idx="5">
                  <c:v>3974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E-4E3C-A1D8-8D95B912C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713032"/>
        <c:axId val="427715080"/>
      </c:lineChart>
      <c:catAx>
        <c:axId val="427713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7715080"/>
        <c:crosses val="autoZero"/>
        <c:auto val="1"/>
        <c:lblAlgn val="ctr"/>
        <c:lblOffset val="100"/>
        <c:noMultiLvlLbl val="0"/>
      </c:catAx>
      <c:valAx>
        <c:axId val="427715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7713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'Детализация доходов и расходов '!$A$22</c:f>
              <c:strCache>
                <c:ptCount val="1"/>
                <c:pt idx="0">
                  <c:v>Комиссионные доходы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'Детализация доходов и расходов '!$B$2:$G$2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'Детализация доходов и расходов '!$B$22:$G$22</c:f>
              <c:numCache>
                <c:formatCode>General</c:formatCode>
                <c:ptCount val="6"/>
                <c:pt idx="0">
                  <c:v>416</c:v>
                </c:pt>
                <c:pt idx="1">
                  <c:v>395</c:v>
                </c:pt>
                <c:pt idx="2">
                  <c:v>512</c:v>
                </c:pt>
                <c:pt idx="3">
                  <c:v>715</c:v>
                </c:pt>
                <c:pt idx="4">
                  <c:v>981</c:v>
                </c:pt>
                <c:pt idx="5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8-4158-B2D4-32C6EA677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24584"/>
        <c:axId val="54426632"/>
      </c:lineChart>
      <c:catAx>
        <c:axId val="54424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426632"/>
        <c:crosses val="autoZero"/>
        <c:auto val="1"/>
        <c:lblAlgn val="ctr"/>
        <c:lblOffset val="100"/>
        <c:noMultiLvlLbl val="0"/>
      </c:catAx>
      <c:valAx>
        <c:axId val="54426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424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'Детализация доходов и расходов '!$A$30</c:f>
              <c:strCache>
                <c:ptCount val="1"/>
                <c:pt idx="0">
                  <c:v>Комиссионные расходы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'Детализация доходов и расходов '!$B$2:$G$2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'Детализация доходов и расходов '!$B$30:$G$30</c:f>
              <c:numCache>
                <c:formatCode>General</c:formatCode>
                <c:ptCount val="6"/>
                <c:pt idx="0">
                  <c:v>-209</c:v>
                </c:pt>
                <c:pt idx="1">
                  <c:v>-201</c:v>
                </c:pt>
                <c:pt idx="2">
                  <c:v>-237</c:v>
                </c:pt>
                <c:pt idx="3">
                  <c:v>-190</c:v>
                </c:pt>
                <c:pt idx="4">
                  <c:v>-193</c:v>
                </c:pt>
                <c:pt idx="5">
                  <c:v>-124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5-42CB-A34C-36C1088B7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148680"/>
        <c:axId val="109154824"/>
      </c:lineChart>
      <c:catAx>
        <c:axId val="10914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9154824"/>
        <c:crosses val="autoZero"/>
        <c:auto val="1"/>
        <c:lblAlgn val="ctr"/>
        <c:lblOffset val="100"/>
        <c:noMultiLvlLbl val="0"/>
      </c:catAx>
      <c:valAx>
        <c:axId val="109154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9148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'Детализация доходов и расходов '!$A$36</c:f>
              <c:strCache>
                <c:ptCount val="1"/>
                <c:pt idx="0">
                  <c:v>Чистый комиссионный доход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'Детализация доходов и расходов '!$B$2:$G$2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'Детализация доходов и расходов '!$B$36:$G$36</c:f>
              <c:numCache>
                <c:formatCode>General</c:formatCode>
                <c:ptCount val="6"/>
                <c:pt idx="0">
                  <c:v>207</c:v>
                </c:pt>
                <c:pt idx="1">
                  <c:v>194</c:v>
                </c:pt>
                <c:pt idx="2">
                  <c:v>275</c:v>
                </c:pt>
                <c:pt idx="3">
                  <c:v>525</c:v>
                </c:pt>
                <c:pt idx="4">
                  <c:v>788</c:v>
                </c:pt>
                <c:pt idx="5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8-426A-B643-DC84E3BBA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160968"/>
        <c:axId val="14124552"/>
      </c:lineChart>
      <c:catAx>
        <c:axId val="109160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124552"/>
        <c:crosses val="autoZero"/>
        <c:auto val="1"/>
        <c:lblAlgn val="ctr"/>
        <c:lblOffset val="100"/>
        <c:noMultiLvlLbl val="0"/>
      </c:catAx>
      <c:valAx>
        <c:axId val="14124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9160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'Графики и Структура капитала'!$L$1</c:f>
              <c:strCache>
                <c:ptCount val="1"/>
                <c:pt idx="0">
                  <c:v>CIR</c:v>
                </c:pt>
              </c:strCache>
            </c:strRef>
          </c:tx>
          <c:spPr>
            <a:solidFill>
              <a:schemeClr val="accent1"/>
            </a:solidFill>
            <a:ln w="25400">
              <a:solidFill>
                <a:srgbClr val="1047FF"/>
              </a:solidFill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numRef>
              <c:f>'Графики и Структура капитала'!$A$2:$A$6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'Графики и Структура капитала'!$L$2:$L$6</c:f>
              <c:numCache>
                <c:formatCode>0.00%</c:formatCode>
                <c:ptCount val="5"/>
                <c:pt idx="0">
                  <c:v>0.52383322962041068</c:v>
                </c:pt>
                <c:pt idx="1">
                  <c:v>0.38650793650793652</c:v>
                </c:pt>
                <c:pt idx="2">
                  <c:v>0.5723384895359418</c:v>
                </c:pt>
                <c:pt idx="3">
                  <c:v>0.54867948116893261</c:v>
                </c:pt>
                <c:pt idx="4">
                  <c:v>0.60723563937265468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7-8142-844A-25BA64ED8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078367"/>
        <c:axId val="1265385599"/>
      </c:barChart>
      <c:catAx>
        <c:axId val="37307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5385599"/>
        <c:crosses val="autoZero"/>
        <c:auto val="1"/>
        <c:lblAlgn val="ctr"/>
        <c:lblOffset val="100"/>
        <c:noMultiLvlLbl val="0"/>
      </c:catAx>
      <c:valAx>
        <c:axId val="1265385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AD6E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307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'Графики и Структура капитала'!$O$1</c:f>
              <c:strCache>
                <c:ptCount val="1"/>
                <c:pt idx="0">
                  <c:v>COR</c:v>
                </c:pt>
              </c:strCache>
            </c:strRef>
          </c:tx>
          <c:spPr>
            <a:solidFill>
              <a:schemeClr val="accent1"/>
            </a:solidFill>
            <a:ln w="25400">
              <a:solidFill>
                <a:srgbClr val="FF9300"/>
              </a:solidFill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'Графики и Структура капитала'!$A$2:$A$6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'Графики и Структура капитала'!$O$2:$O$6</c:f>
              <c:numCache>
                <c:formatCode>0.00%</c:formatCode>
                <c:ptCount val="5"/>
                <c:pt idx="0">
                  <c:v>1.7420489052261467E-2</c:v>
                </c:pt>
                <c:pt idx="1">
                  <c:v>3.1108782500491191E-3</c:v>
                </c:pt>
                <c:pt idx="2">
                  <c:v>1.6688305519490802E-2</c:v>
                </c:pt>
                <c:pt idx="3">
                  <c:v>8.8851836819762407E-3</c:v>
                </c:pt>
                <c:pt idx="4">
                  <c:v>2.9786262157172495E-3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5-4E43-8A34-7F0C2D485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078367"/>
        <c:axId val="1265385599"/>
      </c:barChart>
      <c:catAx>
        <c:axId val="37307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5385599"/>
        <c:crosses val="autoZero"/>
        <c:auto val="1"/>
        <c:lblAlgn val="ctr"/>
        <c:lblOffset val="100"/>
        <c:noMultiLvlLbl val="0"/>
      </c:catAx>
      <c:valAx>
        <c:axId val="1265385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AD6E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307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ru-RU" sz="1300" b="1">
                <a:solidFill>
                  <a:srgbClr val="002060"/>
                </a:solidFill>
                <a:latin typeface="+mn-lt"/>
              </a:rPr>
              <a:t>Динамика крупнейших статей активов</a:t>
            </a:r>
          </a:p>
        </c:rich>
      </c:tx>
      <c:layout>
        <c:manualLayout>
          <c:xMode val="edge"/>
          <c:yMode val="edge"/>
          <c:x val="0.25877321472320369"/>
          <c:y val="1.27286862158350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35845184468457"/>
          <c:y val="0.38112737652191098"/>
          <c:w val="0.86469889511979259"/>
          <c:h val="0.524693379347483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'Анализ активов'!$U$24</c:f>
              <c:strCache>
                <c:ptCount val="1"/>
                <c:pt idx="0">
                  <c:v>Кредиты и авансы клиентам</c:v>
                </c:pt>
              </c:strCache>
            </c:strRef>
          </c:tx>
          <c:spPr>
            <a:solidFill>
              <a:srgbClr val="1047FF"/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активов'!$T$25:$T$29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'Анализ активов'!$U$25:$U$29</c:f>
              <c:numCache>
                <c:formatCode>#,##0</c:formatCode>
                <c:ptCount val="5"/>
                <c:pt idx="0">
                  <c:v>50056</c:v>
                </c:pt>
                <c:pt idx="1">
                  <c:v>61076</c:v>
                </c:pt>
                <c:pt idx="2">
                  <c:v>63158</c:v>
                </c:pt>
                <c:pt idx="3">
                  <c:v>91163</c:v>
                </c:pt>
                <c:pt idx="4">
                  <c:v>105082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1-5247-8F56-D1BAE9135AA8}"/>
            </c:ext>
          </c:extLst>
        </c:ser>
        <c:ser>
          <c:idx val="1"/>
          <c:order val="1"/>
          <c:tx>
            <c:strRef>
              <c:f>'Анализ активов'!$V$24</c:f>
              <c:strCache>
                <c:ptCount val="1"/>
                <c:pt idx="0">
                  <c:v>Денежные средства и их эквиваленты</c:v>
                </c:pt>
              </c:strCache>
            </c:strRef>
          </c:tx>
          <c:spPr>
            <a:solidFill>
              <a:srgbClr val="EE7100"/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активов'!$T$25:$T$29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'Анализ активов'!$V$25:$V$29</c:f>
              <c:numCache>
                <c:formatCode>#,##0</c:formatCode>
                <c:ptCount val="5"/>
                <c:pt idx="0">
                  <c:v>16714</c:v>
                </c:pt>
                <c:pt idx="1">
                  <c:v>14229</c:v>
                </c:pt>
                <c:pt idx="2">
                  <c:v>29682</c:v>
                </c:pt>
                <c:pt idx="3">
                  <c:v>58818</c:v>
                </c:pt>
                <c:pt idx="4">
                  <c:v>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41-5247-8F56-D1BAE9135AA8}"/>
            </c:ext>
          </c:extLst>
        </c:ser>
        <c:ser>
          <c:idx val="2"/>
          <c:order val="2"/>
          <c:tx>
            <c:strRef>
              <c:f>'Анализ активов'!$W$24</c:f>
              <c:strCache>
                <c:ptCount val="1"/>
                <c:pt idx="0">
                  <c:v>Инвестиции в ценные бумаги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активов'!$T$25:$T$29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'Анализ активов'!$W$25:$W$29</c:f>
              <c:numCache>
                <c:formatCode>#,##0</c:formatCode>
                <c:ptCount val="5"/>
                <c:pt idx="0">
                  <c:v>11248</c:v>
                </c:pt>
                <c:pt idx="1">
                  <c:v>18451</c:v>
                </c:pt>
                <c:pt idx="2">
                  <c:v>16874</c:v>
                </c:pt>
                <c:pt idx="3">
                  <c:v>16204</c:v>
                </c:pt>
                <c:pt idx="4">
                  <c:v>14828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41-5247-8F56-D1BAE9135AA8}"/>
            </c:ext>
          </c:extLst>
        </c:ser>
        <c:ser>
          <c:idx val="3"/>
          <c:order val="3"/>
          <c:tx>
            <c:strRef>
              <c:f>'Анализ активов'!$X$24</c:f>
              <c:strCache>
                <c:ptCount val="1"/>
                <c:pt idx="0">
                  <c:v>Основные средства, нематериальные активы и активы в форме права пользования</c:v>
                </c:pt>
              </c:strCache>
            </c:strRef>
          </c:tx>
          <c:spPr>
            <a:solidFill>
              <a:srgbClr val="FDE500"/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активов'!$T$25:$T$29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'Анализ активов'!$X$25:$X$29</c:f>
              <c:numCache>
                <c:formatCode>#,##0</c:formatCode>
                <c:ptCount val="5"/>
                <c:pt idx="0">
                  <c:v>1891</c:v>
                </c:pt>
                <c:pt idx="1">
                  <c:v>2497</c:v>
                </c:pt>
                <c:pt idx="2">
                  <c:v>3091</c:v>
                </c:pt>
                <c:pt idx="3">
                  <c:v>3124</c:v>
                </c:pt>
                <c:pt idx="4">
                  <c:v>3957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41-5247-8F56-D1BAE9135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485429680"/>
        <c:axId val="1744713647"/>
      </c:barChart>
      <c:catAx>
        <c:axId val="48542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44713647"/>
        <c:crosses val="autoZero"/>
        <c:auto val="1"/>
        <c:lblAlgn val="ctr"/>
        <c:lblOffset val="100"/>
        <c:noMultiLvlLbl val="0"/>
      </c:catAx>
      <c:valAx>
        <c:axId val="1744713647"/>
        <c:scaling>
          <c:orientation val="minMax"/>
          <c:max val="11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542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4488381776429208E-2"/>
          <c:y val="0.1170844160537025"/>
          <c:w val="0.89102304358634676"/>
          <c:h val="0.25577825716290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200"/>
              <a:t>Соотношение объема средств в других банках и их доходностей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'Анализ активов'!$AA$11</c:f>
              <c:strCache>
                <c:ptCount val="1"/>
                <c:pt idx="0">
                  <c:v>Средства в других банках</c:v>
                </c:pt>
              </c:strCache>
            </c:strRef>
          </c:tx>
          <c:spPr>
            <a:solidFill>
              <a:srgbClr val="1047FF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активов'!$AB$10:$AD$10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активов'!$AB$11:$AD$11</c:f>
              <c:numCache>
                <c:formatCode>#,##0</c:formatCode>
                <c:ptCount val="3"/>
                <c:pt idx="0">
                  <c:v>24098</c:v>
                </c:pt>
                <c:pt idx="1">
                  <c:v>54521</c:v>
                </c:pt>
                <c:pt idx="2">
                  <c:v>9096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5-8F44-A8B6-1486D004B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9322288"/>
        <c:axId val="1308948608"/>
      </c:barChart>
      <c:lineChart>
        <c:grouping val="standard"/>
        <c:varyColors val="0"/>
        <c:ser>
          <c:idx val="1"/>
          <c:order val="1"/>
          <c:tx>
            <c:strRef>
              <c:f>'Анализ активов'!$AA$12</c:f>
              <c:strCache>
                <c:ptCount val="1"/>
                <c:pt idx="0">
                  <c:v>Доходность</c:v>
                </c:pt>
              </c:strCache>
            </c:strRef>
          </c:tx>
          <c:spPr>
            <a:ln w="28575" cap="rnd">
              <a:solidFill>
                <a:srgbClr val="EE71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E7100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'Анализ активов'!$AB$10:$AD$10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активов'!$AB$12:$AD$12</c:f>
              <c:numCache>
                <c:formatCode>0.00%</c:formatCode>
                <c:ptCount val="3"/>
                <c:pt idx="0">
                  <c:v>8.004813677483609E-2</c:v>
                </c:pt>
                <c:pt idx="1">
                  <c:v>3.5784376662203556E-2</c:v>
                </c:pt>
                <c:pt idx="2">
                  <c:v>0.12895778364116095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5-8F44-A8B6-1486D004B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859952"/>
        <c:axId val="2035793104"/>
      </c:lineChart>
      <c:catAx>
        <c:axId val="166932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08948608"/>
        <c:crosses val="autoZero"/>
        <c:auto val="1"/>
        <c:lblAlgn val="ctr"/>
        <c:lblOffset val="100"/>
        <c:noMultiLvlLbl val="0"/>
      </c:catAx>
      <c:valAx>
        <c:axId val="1308948608"/>
        <c:scaling>
          <c:orientation val="minMax"/>
          <c:max val="5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69322288"/>
        <c:crosses val="autoZero"/>
        <c:crossBetween val="between"/>
      </c:valAx>
      <c:valAx>
        <c:axId val="2035793104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93859952"/>
        <c:crosses val="max"/>
        <c:crossBetween val="between"/>
        <c:majorUnit val="0.03"/>
      </c:valAx>
      <c:catAx>
        <c:axId val="1793859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35793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300" b="0">
                <a:solidFill>
                  <a:schemeClr val="tx1"/>
                </a:solidFill>
              </a:rPr>
              <a:t>Динамика изменения основных средств, НМА и активов в форме права пользования</a:t>
            </a:r>
          </a:p>
        </c:rich>
      </c:tx>
      <c:layout>
        <c:manualLayout>
          <c:xMode val="edge"/>
          <c:yMode val="edge"/>
          <c:x val="0.1163028603232459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9.7350081302587502E-2"/>
          <c:y val="0.23839898358547784"/>
          <c:w val="0.87215872011175011"/>
          <c:h val="0.61108447872469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'Анализ активов'!$BA$2</c:f>
              <c:strCache>
                <c:ptCount val="1"/>
                <c:pt idx="0">
                  <c:v>Основные средства</c:v>
                </c:pt>
              </c:strCache>
            </c:strRef>
          </c:tx>
          <c:spPr>
            <a:solidFill>
              <a:srgbClr val="EE71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активов'!$BB$1:$BD$1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активов'!$BB$2:$BD$2</c:f>
              <c:numCache>
                <c:formatCode>#,##0</c:formatCode>
                <c:ptCount val="3"/>
                <c:pt idx="0">
                  <c:v>3091</c:v>
                </c:pt>
                <c:pt idx="1">
                  <c:v>3124</c:v>
                </c:pt>
                <c:pt idx="2">
                  <c:v>3957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9-AC4F-A617-660C37AE9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794640"/>
        <c:axId val="329039759"/>
      </c:barChart>
      <c:catAx>
        <c:axId val="98079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9039759"/>
        <c:crosses val="autoZero"/>
        <c:auto val="1"/>
        <c:lblAlgn val="ctr"/>
        <c:lblOffset val="100"/>
        <c:noMultiLvlLbl val="0"/>
      </c:catAx>
      <c:valAx>
        <c:axId val="329039759"/>
        <c:scaling>
          <c:orientation val="minMax"/>
          <c:max val="4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1097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8079464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'Графики и Структура капитала'!$I$1</c:f>
              <c:strCache>
                <c:ptCount val="1"/>
                <c:pt idx="0">
                  <c:v>ROA</c:v>
                </c:pt>
              </c:strCache>
            </c:strRef>
          </c:tx>
          <c:spPr>
            <a:ln w="12700" cap="rnd">
              <a:solidFill>
                <a:srgbClr val="A49AF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'Графики и Структура капитала'!$A$2:$A$6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'Графики и Структура капитала'!$I$2:$I$6</c:f>
              <c:numCache>
                <c:formatCode>0.00%</c:formatCode>
                <c:ptCount val="5"/>
                <c:pt idx="0">
                  <c:v>3.1294614813545773E-3</c:v>
                </c:pt>
                <c:pt idx="1">
                  <c:v>7.2849064292032318E-3</c:v>
                </c:pt>
                <c:pt idx="2">
                  <c:v>3.6648948776111319E-3</c:v>
                </c:pt>
                <c:pt idx="3">
                  <c:v>1.8510477844557692E-3</c:v>
                </c:pt>
                <c:pt idx="4">
                  <c:v>4.0257041553222279E-3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3-564F-974F-DCCDFF114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078367"/>
        <c:axId val="1265385599"/>
      </c:lineChart>
      <c:catAx>
        <c:axId val="37307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5385599"/>
        <c:crosses val="autoZero"/>
        <c:auto val="1"/>
        <c:lblAlgn val="ctr"/>
        <c:lblOffset val="100"/>
        <c:noMultiLvlLbl val="0"/>
      </c:catAx>
      <c:valAx>
        <c:axId val="1265385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AD6E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307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ru-RU" sz="1400" b="0">
                <a:solidFill>
                  <a:schemeClr val="tx1"/>
                </a:solidFill>
                <a:latin typeface="+mn-lt"/>
              </a:rPr>
              <a:t>Кредитный портфель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'Анализ активов'!$AH$13</c:f>
              <c:strCache>
                <c:ptCount val="1"/>
                <c:pt idx="0">
                  <c:v>Корпоративные кредиты </c:v>
                </c:pt>
              </c:strCache>
            </c:strRef>
          </c:tx>
          <c:spPr>
            <a:solidFill>
              <a:srgbClr val="1047FF"/>
            </a:solidFill>
            <a:ln w="9525">
              <a:solidFill>
                <a:schemeClr val="tx1"/>
              </a:solidFill>
            </a:ln>
            <a:effectLst/>
          </c:spPr>
          <c:invertIfNegative val="0"/>
          <c:trendline>
            <c:spPr>
              <a:ln w="19050" cap="rnd">
                <a:solidFill>
                  <a:srgbClr val="FF0000"/>
                </a:solidFill>
                <a:prstDash val="sysDash"/>
                <a:round/>
              </a:ln>
              <a:effectLst/>
            </c:spPr>
            <c:trendlineType val="linear"/>
            <c:dispRSqr val="0"/>
            <c:dispEq val="0"/>
          </c:trendline>
          <c:cat>
            <c:numRef>
              <c:f>'Анализ активов'!$AI$12:$AK$12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активов'!$AI$13:$AK$13</c:f>
              <c:numCache>
                <c:formatCode>General</c:formatCode>
                <c:ptCount val="3"/>
                <c:pt idx="0" formatCode="#,##0">
                  <c:v>37822</c:v>
                </c:pt>
                <c:pt idx="1">
                  <c:v>62620</c:v>
                </c:pt>
                <c:pt idx="2" formatCode="#,##0">
                  <c:v>70833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C1-7A4D-A4A7-7D5E05475162}"/>
            </c:ext>
          </c:extLst>
        </c:ser>
        <c:ser>
          <c:idx val="1"/>
          <c:order val="1"/>
          <c:tx>
            <c:strRef>
              <c:f>'Анализ активов'!$AH$14</c:f>
              <c:strCache>
                <c:ptCount val="1"/>
                <c:pt idx="0">
                  <c:v>Розничные кредиты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активов'!$AI$12:$AK$12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активов'!$AI$14:$AK$14</c:f>
              <c:numCache>
                <c:formatCode>General</c:formatCode>
                <c:ptCount val="3"/>
                <c:pt idx="0" formatCode="#,##0">
                  <c:v>30234</c:v>
                </c:pt>
                <c:pt idx="1">
                  <c:v>33582</c:v>
                </c:pt>
                <c:pt idx="2" formatCode="#,##0">
                  <c:v>39513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C1-7A4D-A4A7-7D5E05475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649258752"/>
        <c:axId val="649270992"/>
      </c:barChart>
      <c:catAx>
        <c:axId val="64925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9270992"/>
        <c:crosses val="autoZero"/>
        <c:auto val="1"/>
        <c:lblAlgn val="ctr"/>
        <c:lblOffset val="100"/>
        <c:noMultiLvlLbl val="0"/>
      </c:catAx>
      <c:valAx>
        <c:axId val="649270992"/>
        <c:scaling>
          <c:orientation val="minMax"/>
          <c:max val="75000"/>
          <c:min val="0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9258752"/>
        <c:crosses val="autoZero"/>
        <c:crossBetween val="between"/>
        <c:minorUnit val="10000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0">
                <a:solidFill>
                  <a:schemeClr val="tx1"/>
                </a:solidFill>
              </a:rPr>
              <a:t>Корпоративные кредиты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'Анализ активов'!$AH$2</c:f>
              <c:strCache>
                <c:ptCount val="1"/>
                <c:pt idx="0">
                  <c:v>Кредиты, выданные юридическим лицам </c:v>
                </c:pt>
              </c:strCache>
            </c:strRef>
          </c:tx>
          <c:spPr>
            <a:solidFill>
              <a:srgbClr val="EE71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активов'!$AI$1:$AK$1</c:f>
              <c:numCache>
                <c:formatCode>General</c:formatCode>
                <c:ptCount val="3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</c:numCache>
            </c:numRef>
          </c:cat>
          <c:val>
            <c:numRef>
              <c:f>'Анализ активов'!$AI$2:$AK$2</c:f>
              <c:numCache>
                <c:formatCode>#,##0</c:formatCode>
                <c:ptCount val="3"/>
                <c:pt idx="0">
                  <c:v>36313</c:v>
                </c:pt>
                <c:pt idx="1">
                  <c:v>31884</c:v>
                </c:pt>
                <c:pt idx="2">
                  <c:v>19708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3-2A4D-B7E4-4162469D9B45}"/>
            </c:ext>
          </c:extLst>
        </c:ser>
        <c:ser>
          <c:idx val="1"/>
          <c:order val="1"/>
          <c:tx>
            <c:strRef>
              <c:f>'Анализ активов'!$AH$3</c:f>
              <c:strCache>
                <c:ptCount val="1"/>
                <c:pt idx="0">
                  <c:v>Факторинг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активов'!$AI$1:$AK$1</c:f>
              <c:numCache>
                <c:formatCode>General</c:formatCode>
                <c:ptCount val="3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</c:numCache>
            </c:numRef>
          </c:cat>
          <c:val>
            <c:numRef>
              <c:f>'Анализ активов'!$AI$3:$AK$3</c:f>
              <c:numCache>
                <c:formatCode>#,##0</c:formatCode>
                <c:ptCount val="3"/>
                <c:pt idx="0">
                  <c:v>34520</c:v>
                </c:pt>
                <c:pt idx="1">
                  <c:v>30736</c:v>
                </c:pt>
                <c:pt idx="2">
                  <c:v>18114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3-2A4D-B7E4-4162469D9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57056016"/>
        <c:axId val="1446570112"/>
      </c:barChart>
      <c:catAx>
        <c:axId val="1957056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46570112"/>
        <c:crosses val="autoZero"/>
        <c:auto val="1"/>
        <c:lblAlgn val="ctr"/>
        <c:lblOffset val="100"/>
        <c:noMultiLvlLbl val="0"/>
      </c:catAx>
      <c:valAx>
        <c:axId val="1446570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705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0">
                <a:solidFill>
                  <a:schemeClr val="tx1"/>
                </a:solidFill>
              </a:rPr>
              <a:t>Розничные</a:t>
            </a:r>
            <a:r>
              <a:rPr lang="ru-RU" b="0" baseline="0">
                <a:solidFill>
                  <a:schemeClr val="tx1"/>
                </a:solidFill>
              </a:rPr>
              <a:t> кредиты</a:t>
            </a:r>
            <a:endParaRPr lang="ru-RU" b="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9.3042711478895104E-2"/>
          <c:y val="0.28577869871529216"/>
          <c:w val="0.86196282669758861"/>
          <c:h val="0.573479900538748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'Анализ активов'!$AH$4</c:f>
              <c:strCache>
                <c:ptCount val="1"/>
                <c:pt idx="0">
                  <c:v>Кредиты на покупку автомобилей </c:v>
                </c:pt>
              </c:strCache>
            </c:strRef>
          </c:tx>
          <c:spPr>
            <a:solidFill>
              <a:srgbClr val="1047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активов'!$AI$1:$AK$1</c:f>
              <c:numCache>
                <c:formatCode>General</c:formatCode>
                <c:ptCount val="3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</c:numCache>
            </c:numRef>
          </c:cat>
          <c:val>
            <c:numRef>
              <c:f>'Анализ активов'!$AI$4:$AK$4</c:f>
              <c:numCache>
                <c:formatCode>#,##0</c:formatCode>
                <c:ptCount val="3"/>
                <c:pt idx="0">
                  <c:v>27242</c:v>
                </c:pt>
                <c:pt idx="1">
                  <c:v>22074</c:v>
                </c:pt>
                <c:pt idx="2">
                  <c:v>20763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F-FD47-81C4-E63437FD4E32}"/>
            </c:ext>
          </c:extLst>
        </c:ser>
        <c:ser>
          <c:idx val="1"/>
          <c:order val="1"/>
          <c:tx>
            <c:strRef>
              <c:f>'Анализ активов'!$AH$5</c:f>
              <c:strCache>
                <c:ptCount val="1"/>
                <c:pt idx="0">
                  <c:v>Ипотечные кредиты 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активов'!$AI$1:$AK$1</c:f>
              <c:numCache>
                <c:formatCode>General</c:formatCode>
                <c:ptCount val="3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</c:numCache>
            </c:numRef>
          </c:cat>
          <c:val>
            <c:numRef>
              <c:f>'Анализ активов'!$AI$5:$AK$5</c:f>
              <c:numCache>
                <c:formatCode>#,##0</c:formatCode>
                <c:ptCount val="3"/>
                <c:pt idx="0">
                  <c:v>6977</c:v>
                </c:pt>
                <c:pt idx="1">
                  <c:v>6856</c:v>
                </c:pt>
                <c:pt idx="2">
                  <c:v>7255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FF-FD47-81C4-E63437FD4E32}"/>
            </c:ext>
          </c:extLst>
        </c:ser>
        <c:ser>
          <c:idx val="2"/>
          <c:order val="2"/>
          <c:tx>
            <c:strRef>
              <c:f>'Анализ активов'!$AH$6</c:f>
              <c:strCache>
                <c:ptCount val="1"/>
                <c:pt idx="0">
                  <c:v>Потребительские кредиты 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активов'!$AI$1:$AK$1</c:f>
              <c:numCache>
                <c:formatCode>General</c:formatCode>
                <c:ptCount val="3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</c:numCache>
            </c:numRef>
          </c:cat>
          <c:val>
            <c:numRef>
              <c:f>'Анализ активов'!$AI$6:$AK$6</c:f>
              <c:numCache>
                <c:formatCode>#,##0</c:formatCode>
                <c:ptCount val="3"/>
                <c:pt idx="0">
                  <c:v>5292</c:v>
                </c:pt>
                <c:pt idx="1">
                  <c:v>4649</c:v>
                </c:pt>
                <c:pt idx="2">
                  <c:v>2208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FF-FD47-81C4-E63437FD4E32}"/>
            </c:ext>
          </c:extLst>
        </c:ser>
        <c:ser>
          <c:idx val="3"/>
          <c:order val="3"/>
          <c:tx>
            <c:strRef>
              <c:f>'Анализ активов'!$AH$7</c:f>
              <c:strCache>
                <c:ptCount val="1"/>
                <c:pt idx="0">
                  <c:v>Кредиты на образование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'Анализ активов'!$AI$1:$AK$1</c:f>
              <c:numCache>
                <c:formatCode>General</c:formatCode>
                <c:ptCount val="3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</c:numCache>
            </c:numRef>
          </c:cat>
          <c:val>
            <c:numRef>
              <c:f>'Анализ активов'!$AI$7:$AK$7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FF-FD47-81C4-E63437FD4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71705680"/>
        <c:axId val="1371593472"/>
      </c:barChart>
      <c:catAx>
        <c:axId val="1371705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71593472"/>
        <c:crosses val="autoZero"/>
        <c:auto val="1"/>
        <c:lblAlgn val="ctr"/>
        <c:lblOffset val="100"/>
        <c:noMultiLvlLbl val="0"/>
      </c:catAx>
      <c:valAx>
        <c:axId val="1371593472"/>
        <c:scaling>
          <c:orientation val="minMax"/>
          <c:max val="28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7170568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4.9323435797724031E-2"/>
          <c:y val="0.15669954413593035"/>
          <c:w val="0.94839358256345818"/>
          <c:h val="0.131539162867799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300" b="0">
                <a:solidFill>
                  <a:schemeClr val="tx1"/>
                </a:solidFill>
              </a:rPr>
              <a:t>Соотношение объема</a:t>
            </a:r>
            <a:r>
              <a:rPr lang="ru-RU" sz="1300" b="0" baseline="0">
                <a:solidFill>
                  <a:schemeClr val="tx1"/>
                </a:solidFill>
              </a:rPr>
              <a:t> кредитного портфеля и его доходности</a:t>
            </a:r>
            <a:endParaRPr lang="ru-RU" sz="1300" b="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'Анализ активов'!$AH$52</c:f>
              <c:strCache>
                <c:ptCount val="1"/>
                <c:pt idx="0">
                  <c:v>Кредиты и авансы клиентам</c:v>
                </c:pt>
              </c:strCache>
            </c:strRef>
          </c:tx>
          <c:spPr>
            <a:solidFill>
              <a:srgbClr val="1047FF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активов'!$AI$51:$AK$51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активов'!$AI$52:$AK$52</c:f>
              <c:numCache>
                <c:formatCode>#,##0</c:formatCode>
                <c:ptCount val="3"/>
                <c:pt idx="0">
                  <c:v>63158</c:v>
                </c:pt>
                <c:pt idx="1">
                  <c:v>91163</c:v>
                </c:pt>
                <c:pt idx="2">
                  <c:v>105082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7-4349-BC0F-C6620E974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3225568"/>
        <c:axId val="1282982656"/>
      </c:barChart>
      <c:lineChart>
        <c:grouping val="standard"/>
        <c:varyColors val="0"/>
        <c:ser>
          <c:idx val="1"/>
          <c:order val="1"/>
          <c:tx>
            <c:strRef>
              <c:f>'Анализ активов'!$AH$53</c:f>
              <c:strCache>
                <c:ptCount val="1"/>
                <c:pt idx="0">
                  <c:v>Доходность</c:v>
                </c:pt>
              </c:strCache>
            </c:strRef>
          </c:tx>
          <c:spPr>
            <a:ln w="28575" cap="rnd">
              <a:solidFill>
                <a:srgbClr val="EE71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E7100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'Анализ активов'!$AI$51:$AK$51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активов'!$AI$53:$AK$53</c:f>
              <c:numCache>
                <c:formatCode>0.00%</c:formatCode>
                <c:ptCount val="3"/>
                <c:pt idx="0">
                  <c:v>0.12912061813230311</c:v>
                </c:pt>
                <c:pt idx="1">
                  <c:v>0.10154338931364698</c:v>
                </c:pt>
                <c:pt idx="2">
                  <c:v>7.5426809539216988E-2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7-4349-BC0F-C6620E974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595536"/>
        <c:axId val="225669455"/>
      </c:lineChart>
      <c:catAx>
        <c:axId val="128322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2982656"/>
        <c:crosses val="autoZero"/>
        <c:auto val="1"/>
        <c:lblAlgn val="ctr"/>
        <c:lblOffset val="100"/>
        <c:noMultiLvlLbl val="0"/>
      </c:catAx>
      <c:valAx>
        <c:axId val="128298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3225568"/>
        <c:crosses val="autoZero"/>
        <c:crossBetween val="between"/>
      </c:valAx>
      <c:valAx>
        <c:axId val="225669455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3595536"/>
        <c:crosses val="max"/>
        <c:crossBetween val="between"/>
      </c:valAx>
      <c:catAx>
        <c:axId val="1953595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56694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0">
                <a:solidFill>
                  <a:schemeClr val="tx1"/>
                </a:solidFill>
              </a:rPr>
              <a:t>Портфель ценных бумаг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'Анализ активов'!$AO$2</c:f>
              <c:strCache>
                <c:ptCount val="1"/>
                <c:pt idx="0">
                  <c:v>Облигации федерального займа Российской Федерации (ОФЗ)</c:v>
                </c:pt>
              </c:strCache>
            </c:strRef>
          </c:tx>
          <c:spPr>
            <a:solidFill>
              <a:srgbClr val="1047FF"/>
            </a:solidFill>
            <a:ln w="9525">
              <a:solidFill>
                <a:schemeClr val="tx1"/>
              </a:solidFill>
            </a:ln>
            <a:effectLst/>
          </c:spPr>
          <c:invertIfNegative val="0"/>
          <c:trendline>
            <c:spPr>
              <a:ln w="19050" cap="rnd">
                <a:solidFill>
                  <a:srgbClr val="FF0000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cat>
            <c:numRef>
              <c:f>'Анализ активов'!$AP$1:$AR$1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активов'!$AP$2:$AR$2</c:f>
              <c:numCache>
                <c:formatCode>#,##0</c:formatCode>
                <c:ptCount val="3"/>
                <c:pt idx="0">
                  <c:v>13489</c:v>
                </c:pt>
                <c:pt idx="1">
                  <c:v>11960</c:v>
                </c:pt>
                <c:pt idx="2">
                  <c:v>10864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1A-C447-B271-85D2128D26E1}"/>
            </c:ext>
          </c:extLst>
        </c:ser>
        <c:ser>
          <c:idx val="1"/>
          <c:order val="1"/>
          <c:tx>
            <c:strRef>
              <c:f>'Анализ активов'!$AO$3</c:f>
              <c:strCache>
                <c:ptCount val="1"/>
                <c:pt idx="0">
                  <c:v>Корпоративные облигации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активов'!$AP$1:$AR$1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активов'!$AP$3:$AR$3</c:f>
              <c:numCache>
                <c:formatCode>#,##0</c:formatCode>
                <c:ptCount val="3"/>
                <c:pt idx="0">
                  <c:v>3285</c:v>
                </c:pt>
                <c:pt idx="1">
                  <c:v>4019</c:v>
                </c:pt>
                <c:pt idx="2">
                  <c:v>3762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1A-C447-B271-85D2128D2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172687"/>
        <c:axId val="2147112544"/>
      </c:barChart>
      <c:catAx>
        <c:axId val="203172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7112544"/>
        <c:crosses val="autoZero"/>
        <c:auto val="1"/>
        <c:lblAlgn val="ctr"/>
        <c:lblOffset val="100"/>
        <c:noMultiLvlLbl val="0"/>
      </c:catAx>
      <c:valAx>
        <c:axId val="214711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  <a:alpha val="1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172687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300" b="0">
                <a:solidFill>
                  <a:schemeClr val="tx1"/>
                </a:solidFill>
              </a:rPr>
              <a:t>Объем облигаций взависимости от кредитного рейтинга</a:t>
            </a:r>
          </a:p>
        </c:rich>
      </c:tx>
      <c:layout>
        <c:manualLayout>
          <c:xMode val="edge"/>
          <c:yMode val="edge"/>
          <c:x val="0.17534714995093809"/>
          <c:y val="3.67361510005364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9.1787793142528107E-2"/>
          <c:y val="0.34799934146610628"/>
          <c:w val="0.85239317721783892"/>
          <c:h val="0.55062804956372124"/>
        </c:manualLayout>
      </c:layout>
      <c:areaChart>
        <c:grouping val="stacked"/>
        <c:varyColors val="0"/>
        <c:ser>
          <c:idx val="0"/>
          <c:order val="0"/>
          <c:tx>
            <c:strRef>
              <c:f>'Анализ активов'!$AO$15</c:f>
              <c:strCache>
                <c:ptCount val="1"/>
                <c:pt idx="0">
                  <c:v>от ruAAA- до ruAAA+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'Анализ активов'!$AP$14:$AR$14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активов'!$AP$15:$AR$15</c:f>
              <c:numCache>
                <c:formatCode>#,##0</c:formatCode>
                <c:ptCount val="3"/>
                <c:pt idx="0" formatCode="General">
                  <c:v>10</c:v>
                </c:pt>
                <c:pt idx="1">
                  <c:v>3004</c:v>
                </c:pt>
                <c:pt idx="2">
                  <c:v>2303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A-A747-A367-53D28ACCA550}"/>
            </c:ext>
          </c:extLst>
        </c:ser>
        <c:ser>
          <c:idx val="1"/>
          <c:order val="1"/>
          <c:tx>
            <c:strRef>
              <c:f>'Анализ активов'!$AO$16</c:f>
              <c:strCache>
                <c:ptCount val="1"/>
                <c:pt idx="0">
                  <c:v>от ruAA- до ruAA+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'Анализ активов'!$AP$14:$AR$14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активов'!$AP$16:$AR$16</c:f>
              <c:numCache>
                <c:formatCode>General</c:formatCode>
                <c:ptCount val="3"/>
                <c:pt idx="0" formatCode="#,##0">
                  <c:v>2690</c:v>
                </c:pt>
                <c:pt idx="1">
                  <c:v>521</c:v>
                </c:pt>
                <c:pt idx="2">
                  <c:v>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6A-A747-A367-53D28ACCA550}"/>
            </c:ext>
          </c:extLst>
        </c:ser>
        <c:ser>
          <c:idx val="2"/>
          <c:order val="2"/>
          <c:tx>
            <c:strRef>
              <c:f>'Анализ активов'!$AO$17</c:f>
              <c:strCache>
                <c:ptCount val="1"/>
                <c:pt idx="0">
                  <c:v>от ruA- до ruA+</c:v>
                </c:pt>
              </c:strCache>
            </c:strRef>
          </c:tx>
          <c:spPr>
            <a:solidFill>
              <a:srgbClr val="1047FF"/>
            </a:solidFill>
            <a:ln>
              <a:noFill/>
            </a:ln>
            <a:effectLst/>
          </c:spPr>
          <c:cat>
            <c:numRef>
              <c:f>'Анализ активов'!$AP$14:$AR$14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активов'!$AP$17:$AR$17</c:f>
              <c:numCache>
                <c:formatCode>General</c:formatCode>
                <c:ptCount val="3"/>
                <c:pt idx="0">
                  <c:v>414</c:v>
                </c:pt>
                <c:pt idx="1">
                  <c:v>494</c:v>
                </c:pt>
                <c:pt idx="2">
                  <c:v>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6A-A747-A367-53D28ACCA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22448"/>
        <c:axId val="462514240"/>
      </c:areaChart>
      <c:catAx>
        <c:axId val="212212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2514240"/>
        <c:crosses val="autoZero"/>
        <c:auto val="1"/>
        <c:lblAlgn val="ctr"/>
        <c:lblOffset val="100"/>
        <c:noMultiLvlLbl val="0"/>
      </c:catAx>
      <c:valAx>
        <c:axId val="46251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122448"/>
        <c:crosses val="autoZero"/>
        <c:crossBetween val="midCat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648542798523472E-2"/>
          <c:y val="0.15410131499905727"/>
          <c:w val="0.98029125172083131"/>
          <c:h val="0.275733568765230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300" b="1">
                <a:solidFill>
                  <a:srgbClr val="002060"/>
                </a:solidFill>
              </a:rPr>
              <a:t>Соотношение  работающих активов и общего</a:t>
            </a:r>
            <a:r>
              <a:rPr lang="ru-RU" sz="1300" b="1" baseline="0">
                <a:solidFill>
                  <a:srgbClr val="002060"/>
                </a:solidFill>
              </a:rPr>
              <a:t> количества</a:t>
            </a:r>
            <a:r>
              <a:rPr lang="ru-RU" sz="1300" b="1">
                <a:solidFill>
                  <a:srgbClr val="002060"/>
                </a:solidFill>
              </a:rPr>
              <a:t> активов</a:t>
            </a:r>
          </a:p>
        </c:rich>
      </c:tx>
      <c:layout>
        <c:manualLayout>
          <c:xMode val="edge"/>
          <c:yMode val="edge"/>
          <c:x val="0.18196491115495877"/>
          <c:y val="3.2840888399783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'Анализ активов'!$T$36</c:f>
              <c:strCache>
                <c:ptCount val="1"/>
                <c:pt idx="0">
                  <c:v>Работающие активы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'Анализ активов'!$U$33:$W$33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активов'!$U$36:$W$36</c:f>
              <c:numCache>
                <c:formatCode>#,##0</c:formatCode>
                <c:ptCount val="3"/>
                <c:pt idx="0">
                  <c:v>81666</c:v>
                </c:pt>
                <c:pt idx="1">
                  <c:v>109005.00000000001</c:v>
                </c:pt>
                <c:pt idx="2">
                  <c:v>121550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F-524C-A82C-E36613A86B68}"/>
            </c:ext>
          </c:extLst>
        </c:ser>
        <c:ser>
          <c:idx val="1"/>
          <c:order val="1"/>
          <c:tx>
            <c:strRef>
              <c:f>'Анализ активов'!$T$37</c:f>
              <c:strCache>
                <c:ptCount val="1"/>
                <c:pt idx="0">
                  <c:v>Всего активов</c:v>
                </c:pt>
              </c:strCache>
            </c:strRef>
          </c:tx>
          <c:spPr>
            <a:solidFill>
              <a:srgbClr val="1047FF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'Анализ активов'!$U$33:$W$33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'Анализ активов'!$U$38:$W$38</c:f>
              <c:numCache>
                <c:formatCode>#,##0</c:formatCode>
                <c:ptCount val="3"/>
                <c:pt idx="0">
                  <c:v>36482</c:v>
                </c:pt>
                <c:pt idx="1">
                  <c:v>66030.999999999985</c:v>
                </c:pt>
                <c:pt idx="2">
                  <c:v>24263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F-524C-A82C-E36613A86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9"/>
        <c:overlap val="100"/>
        <c:axId val="331176543"/>
        <c:axId val="1790174160"/>
      </c:barChart>
      <c:catAx>
        <c:axId val="331176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90174160"/>
        <c:crosses val="autoZero"/>
        <c:auto val="1"/>
        <c:lblAlgn val="ctr"/>
        <c:lblOffset val="100"/>
        <c:noMultiLvlLbl val="0"/>
      </c:catAx>
      <c:valAx>
        <c:axId val="17901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1176543"/>
        <c:crosses val="autoZero"/>
        <c:crossBetween val="between"/>
        <c:majorUnit val="30000"/>
        <c:minorUnit val="5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ru-RU" sz="1300" b="0">
                <a:solidFill>
                  <a:schemeClr val="tx1"/>
                </a:solidFill>
                <a:latin typeface="+mn-lt"/>
              </a:rPr>
              <a:t>Динамика изменения долей крупных  активов</a:t>
            </a:r>
          </a:p>
        </c:rich>
      </c:tx>
      <c:layout>
        <c:manualLayout>
          <c:xMode val="edge"/>
          <c:yMode val="edge"/>
          <c:x val="0.17596523094104655"/>
          <c:y val="2.5591635164119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34165424041827"/>
          <c:y val="0.32849240987221051"/>
          <c:w val="0.86934579701645254"/>
          <c:h val="0.57951807116020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'Анализ активов'!$U$8</c:f>
              <c:strCache>
                <c:ptCount val="1"/>
                <c:pt idx="0">
                  <c:v>Кредиты и авансы клиентам</c:v>
                </c:pt>
              </c:strCache>
            </c:strRef>
          </c:tx>
          <c:spPr>
            <a:solidFill>
              <a:srgbClr val="1047FF"/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активов'!$T$9:$T$13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'Анализ активов'!$U$9:$U$13</c:f>
              <c:numCache>
                <c:formatCode>0.00%</c:formatCode>
                <c:ptCount val="5"/>
                <c:pt idx="0">
                  <c:v>0.5717092113528639</c:v>
                </c:pt>
                <c:pt idx="1">
                  <c:v>0.60700265357437466</c:v>
                </c:pt>
                <c:pt idx="2">
                  <c:v>0.53456681450384269</c:v>
                </c:pt>
                <c:pt idx="3">
                  <c:v>0.52082428757512744</c:v>
                </c:pt>
                <c:pt idx="4">
                  <c:v>0.72066276669432772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B9-6845-A46D-D84BA78C95DE}"/>
            </c:ext>
          </c:extLst>
        </c:ser>
        <c:ser>
          <c:idx val="1"/>
          <c:order val="1"/>
          <c:tx>
            <c:strRef>
              <c:f>'Анализ активов'!$V$8</c:f>
              <c:strCache>
                <c:ptCount val="1"/>
                <c:pt idx="0">
                  <c:v>Денежные средства и их эквиваленты</c:v>
                </c:pt>
              </c:strCache>
            </c:strRef>
          </c:tx>
          <c:spPr>
            <a:solidFill>
              <a:srgbClr val="EE7100"/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активов'!$T$9:$T$13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'Анализ активов'!$V$9:$V$13</c:f>
              <c:numCache>
                <c:formatCode>0.00%</c:formatCode>
                <c:ptCount val="5"/>
                <c:pt idx="0">
                  <c:v>0.19089715036262919</c:v>
                </c:pt>
                <c:pt idx="1">
                  <c:v>0.14141464335761636</c:v>
                </c:pt>
                <c:pt idx="2">
                  <c:v>0.25122727426617464</c:v>
                </c:pt>
                <c:pt idx="3">
                  <c:v>0.33603373020407229</c:v>
                </c:pt>
                <c:pt idx="4">
                  <c:v>0.10551185422424612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B9-6845-A46D-D84BA78C95DE}"/>
            </c:ext>
          </c:extLst>
        </c:ser>
        <c:ser>
          <c:idx val="2"/>
          <c:order val="2"/>
          <c:tx>
            <c:strRef>
              <c:f>'Анализ активов'!$W$8</c:f>
              <c:strCache>
                <c:ptCount val="1"/>
                <c:pt idx="0">
                  <c:v>Инвестиции в ценные бумаги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активов'!$T$9:$T$13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'Анализ активов'!$W$9:$W$13</c:f>
              <c:numCache>
                <c:formatCode>0.00%</c:formatCode>
                <c:ptCount val="5"/>
                <c:pt idx="0">
                  <c:v>0.1284678202272857</c:v>
                </c:pt>
                <c:pt idx="1">
                  <c:v>0.18337490931136266</c:v>
                </c:pt>
                <c:pt idx="2">
                  <c:v>0.14282086874090125</c:v>
                </c:pt>
                <c:pt idx="3">
                  <c:v>9.2575241664571858E-2</c:v>
                </c:pt>
                <c:pt idx="4">
                  <c:v>0.10169189304108686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B9-6845-A46D-D84BA78C95DE}"/>
            </c:ext>
          </c:extLst>
        </c:ser>
        <c:ser>
          <c:idx val="3"/>
          <c:order val="3"/>
          <c:tx>
            <c:strRef>
              <c:f>'Анализ активов'!$X$8</c:f>
              <c:strCache>
                <c:ptCount val="1"/>
                <c:pt idx="0">
                  <c:v>Основные средства, нематериальные активы и активы в форме права пользования</c:v>
                </c:pt>
              </c:strCache>
            </c:strRef>
          </c:tx>
          <c:spPr>
            <a:solidFill>
              <a:srgbClr val="FDE500"/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активов'!$T$9:$T$13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'Анализ активов'!$X$9:$X$13</c:f>
              <c:numCache>
                <c:formatCode>0.00%</c:formatCode>
                <c:ptCount val="5"/>
                <c:pt idx="0">
                  <c:v>2.1597852778253671E-2</c:v>
                </c:pt>
                <c:pt idx="1">
                  <c:v>2.4816386567149344E-2</c:v>
                </c:pt>
                <c:pt idx="2">
                  <c:v>2.6162101770660529E-2</c:v>
                </c:pt>
                <c:pt idx="3">
                  <c:v>1.784775703283896E-2</c:v>
                </c:pt>
                <c:pt idx="4">
                  <c:v>2.7137498028296517E-2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B9-6845-A46D-D84BA78C9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414488032"/>
        <c:axId val="444242784"/>
      </c:barChart>
      <c:catAx>
        <c:axId val="41448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4242784"/>
        <c:crosses val="autoZero"/>
        <c:auto val="1"/>
        <c:lblAlgn val="ctr"/>
        <c:lblOffset val="100"/>
        <c:noMultiLvlLbl val="0"/>
      </c:catAx>
      <c:valAx>
        <c:axId val="44424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448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9133386157887179E-2"/>
          <c:y val="0.13022923276006662"/>
          <c:w val="0.83144703922535079"/>
          <c:h val="0.166528974794735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z-Cyrl-AZ" b="0">
                <a:solidFill>
                  <a:schemeClr val="tx1"/>
                </a:solidFill>
              </a:rPr>
              <a:t>Анализ динамики обязательств </a:t>
            </a:r>
          </a:p>
        </c:rich>
      </c:tx>
      <c:layout>
        <c:manualLayout>
          <c:xMode val="edge"/>
          <c:yMode val="edge"/>
          <c:x val="0.21395122484689413"/>
          <c:y val="2.8808593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EE71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rgbClr val="203764"/>
                </a:solidFill>
                <a:prstDash val="solid"/>
              </a:ln>
              <a:effectLst/>
            </c:spPr>
          </c:marker>
          <c:dLbls>
            <c:spPr>
              <a:noFill/>
              <a:ln>
                <a:solidFill>
                  <a:srgbClr val="203764"/>
                </a:solidFill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03764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'Анализ обязательств'!$U$2:$U$6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'Анализ обязательств'!$V$2:$V$6</c:f>
              <c:numCache>
                <c:formatCode>#,##0</c:formatCode>
                <c:ptCount val="5"/>
                <c:pt idx="0">
                  <c:v>74769</c:v>
                </c:pt>
                <c:pt idx="1">
                  <c:v>87307</c:v>
                </c:pt>
                <c:pt idx="2">
                  <c:v>101082</c:v>
                </c:pt>
                <c:pt idx="3">
                  <c:v>157527</c:v>
                </c:pt>
                <c:pt idx="4">
                  <c:v>125836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0-4C0F-8015-1D084768E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9848968"/>
        <c:axId val="682397704"/>
      </c:lineChart>
      <c:catAx>
        <c:axId val="759848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2397704"/>
        <c:crosses val="autoZero"/>
        <c:auto val="1"/>
        <c:lblAlgn val="ctr"/>
        <c:lblOffset val="100"/>
        <c:noMultiLvlLbl val="0"/>
      </c:catAx>
      <c:valAx>
        <c:axId val="682397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9848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ru-RU" sz="1300" b="0">
                <a:solidFill>
                  <a:schemeClr val="tx1"/>
                </a:solidFill>
              </a:rPr>
              <a:t>Динамика</a:t>
            </a:r>
            <a:r>
              <a:rPr lang="ru-RU" sz="1300" b="0" baseline="0">
                <a:solidFill>
                  <a:schemeClr val="tx1"/>
                </a:solidFill>
              </a:rPr>
              <a:t> структуры капитала</a:t>
            </a:r>
          </a:p>
          <a:p>
            <a:pPr>
              <a:defRPr sz="2000">
                <a:solidFill>
                  <a:srgbClr val="002060"/>
                </a:solidFill>
              </a:defRPr>
            </a:pPr>
            <a:r>
              <a:rPr lang="ru-RU" sz="1300" b="0" baseline="0">
                <a:solidFill>
                  <a:schemeClr val="tx1"/>
                </a:solidFill>
              </a:rPr>
              <a:t>за период 2020-2024 гг.</a:t>
            </a:r>
            <a:endParaRPr lang="ru-RU" sz="1300" b="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8.0807983332125105E-2"/>
          <c:y val="0.17289100714631986"/>
          <c:w val="0.74451750100465297"/>
          <c:h val="0.70145417476967309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'Графики и Структура капитала'!$C$1</c:f>
              <c:strCache>
                <c:ptCount val="1"/>
                <c:pt idx="0">
                  <c:v>Добавочный капитал</c:v>
                </c:pt>
              </c:strCache>
            </c:strRef>
          </c:tx>
          <c:spPr>
            <a:ln w="28575" cap="rnd">
              <a:solidFill>
                <a:srgbClr val="FDE5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DE500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'Графики и Структура капитала'!$A$2:$A$6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'Графики и Структура капитала'!$C$2:$C$6</c:f>
              <c:numCache>
                <c:formatCode>#,##0</c:formatCode>
                <c:ptCount val="5"/>
                <c:pt idx="0">
                  <c:v>4692</c:v>
                </c:pt>
                <c:pt idx="1">
                  <c:v>4692</c:v>
                </c:pt>
                <c:pt idx="2">
                  <c:v>7892</c:v>
                </c:pt>
                <c:pt idx="3">
                  <c:v>7892</c:v>
                </c:pt>
                <c:pt idx="4">
                  <c:v>9892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A-034C-A65C-CFCFD40ED10B}"/>
            </c:ext>
          </c:extLst>
        </c:ser>
        <c:ser>
          <c:idx val="1"/>
          <c:order val="1"/>
          <c:tx>
            <c:strRef>
              <c:f>'Графики и Структура капитала'!$E$1</c:f>
              <c:strCache>
                <c:ptCount val="1"/>
                <c:pt idx="0">
                  <c:v>Нераспределенная прибыль</c:v>
                </c:pt>
              </c:strCache>
            </c:strRef>
          </c:tx>
          <c:spPr>
            <a:ln w="28575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'Графики и Структура капитала'!$E$2:$E$6</c:f>
              <c:numCache>
                <c:formatCode>General</c:formatCode>
                <c:ptCount val="5"/>
                <c:pt idx="0" formatCode="#,##0">
                  <c:v>2475</c:v>
                </c:pt>
                <c:pt idx="1">
                  <c:v>196</c:v>
                </c:pt>
                <c:pt idx="2" formatCode="#,##0">
                  <c:v>3546</c:v>
                </c:pt>
                <c:pt idx="3" formatCode="#,##0">
                  <c:v>3757</c:v>
                </c:pt>
                <c:pt idx="4" formatCode="#,##0">
                  <c:v>4291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A-034C-A65C-CFCFD40ED10B}"/>
            </c:ext>
          </c:extLst>
        </c:ser>
        <c:ser>
          <c:idx val="2"/>
          <c:order val="2"/>
          <c:tx>
            <c:strRef>
              <c:f>'Графики и Структура капитала'!$B$1</c:f>
              <c:strCache>
                <c:ptCount val="1"/>
                <c:pt idx="0">
                  <c:v>Акционерный капитал</c:v>
                </c:pt>
              </c:strCache>
            </c:strRef>
          </c:tx>
          <c:spPr>
            <a:ln w="28575" cap="rnd">
              <a:solidFill>
                <a:srgbClr val="1047FF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'Графики и Структура капитала'!$B$2:$B$6</c:f>
              <c:numCache>
                <c:formatCode>General</c:formatCode>
                <c:ptCount val="5"/>
                <c:pt idx="0">
                  <c:v>5216</c:v>
                </c:pt>
                <c:pt idx="1">
                  <c:v>5216</c:v>
                </c:pt>
                <c:pt idx="2">
                  <c:v>5216</c:v>
                </c:pt>
                <c:pt idx="3">
                  <c:v>5216</c:v>
                </c:pt>
                <c:pt idx="4">
                  <c:v>5216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3A-034C-A65C-CFCFD40ED10B}"/>
            </c:ext>
          </c:extLst>
        </c:ser>
        <c:ser>
          <c:idx val="3"/>
          <c:order val="3"/>
          <c:tx>
            <c:strRef>
              <c:f>'Графики и Структура капитала'!$D$1</c:f>
              <c:strCache>
                <c:ptCount val="1"/>
                <c:pt idx="0">
                  <c:v>Прочие фонды</c:v>
                </c:pt>
              </c:strCache>
            </c:strRef>
          </c:tx>
          <c:spPr>
            <a:ln w="28575" cap="rnd">
              <a:solidFill>
                <a:srgbClr val="EE71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E7100"/>
              </a:solidFill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'Графики и Структура капитала'!$D$2:$D$6</c:f>
              <c:numCache>
                <c:formatCode>#,##0</c:formatCode>
                <c:ptCount val="5"/>
                <c:pt idx="0" formatCode="General">
                  <c:v>447</c:v>
                </c:pt>
                <c:pt idx="1">
                  <c:v>3208</c:v>
                </c:pt>
                <c:pt idx="2" formatCode="General">
                  <c:v>412</c:v>
                </c:pt>
                <c:pt idx="3" formatCode="General">
                  <c:v>644</c:v>
                </c:pt>
                <c:pt idx="4" formatCode="General">
                  <c:v>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3A-034C-A65C-CFCFD40ED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124175"/>
        <c:axId val="372710079"/>
      </c:lineChart>
      <c:catAx>
        <c:axId val="37312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2710079"/>
        <c:crosses val="autoZero"/>
        <c:auto val="1"/>
        <c:lblAlgn val="ctr"/>
        <c:lblOffset val="100"/>
        <c:noMultiLvlLbl val="0"/>
      </c:catAx>
      <c:valAx>
        <c:axId val="372710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DE5FF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312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177454358544808"/>
          <c:y val="0.42239950872549648"/>
          <c:w val="0.19983062266134477"/>
          <c:h val="0.353623597298214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'Графики и Структура капитала'!$J$1</c:f>
              <c:strCache>
                <c:ptCount val="1"/>
                <c:pt idx="0">
                  <c:v>PM</c:v>
                </c:pt>
              </c:strCache>
            </c:strRef>
          </c:tx>
          <c:spPr>
            <a:ln w="15875" cap="rnd">
              <a:solidFill>
                <a:srgbClr val="A49AF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'Графики и Структура капитала'!$A$2:$A$6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'Графики и Структура капитала'!$J$2:$J$6</c:f>
              <c:numCache>
                <c:formatCode>0.00%</c:formatCode>
                <c:ptCount val="5"/>
                <c:pt idx="0">
                  <c:v>3.6484687083888148E-2</c:v>
                </c:pt>
                <c:pt idx="1">
                  <c:v>9.8880345339268857E-2</c:v>
                </c:pt>
                <c:pt idx="2">
                  <c:v>3.6185859936486715E-2</c:v>
                </c:pt>
                <c:pt idx="3">
                  <c:v>2.5525880406523281E-2</c:v>
                </c:pt>
                <c:pt idx="4">
                  <c:v>5.6901899961225279E-2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1-DD4E-958C-AB41C6778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078367"/>
        <c:axId val="1265385599"/>
      </c:lineChart>
      <c:catAx>
        <c:axId val="37307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5385599"/>
        <c:crosses val="autoZero"/>
        <c:auto val="1"/>
        <c:lblAlgn val="ctr"/>
        <c:lblOffset val="100"/>
        <c:noMultiLvlLbl val="0"/>
      </c:catAx>
      <c:valAx>
        <c:axId val="1265385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AD6E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307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300" b="0">
                <a:solidFill>
                  <a:schemeClr val="tx1"/>
                </a:solidFill>
              </a:rPr>
              <a:t>Показатели</a:t>
            </a:r>
            <a:r>
              <a:rPr lang="ru-RU" sz="1300" b="0" baseline="0">
                <a:solidFill>
                  <a:schemeClr val="tx1"/>
                </a:solidFill>
              </a:rPr>
              <a:t> структуры капитала</a:t>
            </a:r>
            <a:endParaRPr lang="ru-RU" sz="1300" b="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EM</c:v>
          </c:tx>
          <c:spPr>
            <a:solidFill>
              <a:srgbClr val="1047FF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numRef>
              <c:f>'Графики и Структура капитала'!$A$2:$A$6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'Графики и Структура капитала'!$F$2:$F$6</c:f>
              <c:numCache>
                <c:formatCode>0.00</c:formatCode>
                <c:ptCount val="5"/>
                <c:pt idx="0">
                  <c:v>6.8477240732050682</c:v>
                </c:pt>
                <c:pt idx="1">
                  <c:v>7.5585186298076925</c:v>
                </c:pt>
                <c:pt idx="2">
                  <c:v>6.9230048048751902</c:v>
                </c:pt>
                <c:pt idx="3">
                  <c:v>9.9969158718373414</c:v>
                </c:pt>
                <c:pt idx="4">
                  <c:v>7.2990439004855583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CE-5842-96F5-6B880446E593}"/>
            </c:ext>
          </c:extLst>
        </c:ser>
        <c:ser>
          <c:idx val="1"/>
          <c:order val="1"/>
          <c:tx>
            <c:v>LEV</c:v>
          </c:tx>
          <c:spPr>
            <a:solidFill>
              <a:srgbClr val="EE71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numRef>
              <c:f>'Графики и Структура капитала'!$A$2:$A$6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'Графики и Структура капитала'!$G$2:$G$6</c:f>
              <c:numCache>
                <c:formatCode>0.00</c:formatCode>
                <c:ptCount val="5"/>
                <c:pt idx="0">
                  <c:v>5.8477240732050682</c:v>
                </c:pt>
                <c:pt idx="1">
                  <c:v>6.5585186298076925</c:v>
                </c:pt>
                <c:pt idx="2">
                  <c:v>5.9230048048751902</c:v>
                </c:pt>
                <c:pt idx="3">
                  <c:v>8.9969158718373414</c:v>
                </c:pt>
                <c:pt idx="4">
                  <c:v>6.2990439004855583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CE-5842-96F5-6B880446E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88143"/>
        <c:axId val="189626784"/>
      </c:barChart>
      <c:catAx>
        <c:axId val="213188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9626784"/>
        <c:crosses val="autoZero"/>
        <c:auto val="1"/>
        <c:lblAlgn val="ctr"/>
        <c:lblOffset val="100"/>
        <c:noMultiLvlLbl val="0"/>
      </c:catAx>
      <c:valAx>
        <c:axId val="1896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188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sz="1300" b="0">
                <a:solidFill>
                  <a:schemeClr val="tx1"/>
                </a:solidFill>
              </a:rPr>
              <a:t>CIR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'Графики и Структура капитала'!$L$1</c:f>
              <c:strCache>
                <c:ptCount val="1"/>
                <c:pt idx="0">
                  <c:v>CIR</c:v>
                </c:pt>
              </c:strCache>
            </c:strRef>
          </c:tx>
          <c:spPr>
            <a:solidFill>
              <a:srgbClr val="1047FF"/>
            </a:solidFill>
            <a:ln w="9525">
              <a:solidFill>
                <a:schemeClr val="tx1"/>
              </a:solidFill>
            </a:ln>
            <a:effectLst/>
          </c:spPr>
          <c:invertIfNegative val="0"/>
          <c:trendline>
            <c:spPr>
              <a:ln w="19050" cap="rnd">
                <a:solidFill>
                  <a:srgbClr val="FF0000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cat>
            <c:numRef>
              <c:f>'Графики и Структура капитала'!$A$2:$A$6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'Графики и Структура капитала'!$L$2:$L$6</c:f>
              <c:numCache>
                <c:formatCode>0.00%</c:formatCode>
                <c:ptCount val="5"/>
                <c:pt idx="0">
                  <c:v>0.52383322962041068</c:v>
                </c:pt>
                <c:pt idx="1">
                  <c:v>0.38650793650793652</c:v>
                </c:pt>
                <c:pt idx="2">
                  <c:v>0.5723384895359418</c:v>
                </c:pt>
                <c:pt idx="3">
                  <c:v>0.54867948116893261</c:v>
                </c:pt>
                <c:pt idx="4">
                  <c:v>0.60723563937265468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7-8142-844A-25BA64ED8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078367"/>
        <c:axId val="1265385599"/>
      </c:barChart>
      <c:catAx>
        <c:axId val="37307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5385599"/>
        <c:crosses val="autoZero"/>
        <c:auto val="1"/>
        <c:lblAlgn val="ctr"/>
        <c:lblOffset val="100"/>
        <c:noMultiLvlLbl val="0"/>
      </c:catAx>
      <c:valAx>
        <c:axId val="1265385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AD6E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307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sz="1300" b="0">
                <a:solidFill>
                  <a:schemeClr val="tx1"/>
                </a:solidFill>
              </a:rPr>
              <a:t>COR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'Графики и Структура капитала'!$O$1</c:f>
              <c:strCache>
                <c:ptCount val="1"/>
                <c:pt idx="0">
                  <c:v>COR</c:v>
                </c:pt>
              </c:strCache>
            </c:strRef>
          </c:tx>
          <c:spPr>
            <a:solidFill>
              <a:srgbClr val="EE7100"/>
            </a:solidFill>
            <a:ln w="9525">
              <a:solidFill>
                <a:schemeClr val="tx1"/>
              </a:solidFill>
            </a:ln>
            <a:effectLst/>
          </c:spPr>
          <c:invertIfNegative val="0"/>
          <c:trendline>
            <c:spPr>
              <a:ln w="19050" cap="rnd">
                <a:solidFill>
                  <a:srgbClr val="FF0000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cat>
            <c:numRef>
              <c:f>'Графики и Структура капитала'!$A$2:$A$6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'Графики и Структура капитала'!$O$2:$O$6</c:f>
              <c:numCache>
                <c:formatCode>0.00%</c:formatCode>
                <c:ptCount val="5"/>
                <c:pt idx="0">
                  <c:v>1.7420489052261467E-2</c:v>
                </c:pt>
                <c:pt idx="1">
                  <c:v>3.1108782500491191E-3</c:v>
                </c:pt>
                <c:pt idx="2">
                  <c:v>1.6688305519490802E-2</c:v>
                </c:pt>
                <c:pt idx="3">
                  <c:v>8.8851836819762407E-3</c:v>
                </c:pt>
                <c:pt idx="4">
                  <c:v>2.9786262157172495E-3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5-4E43-8A34-7F0C2D485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078367"/>
        <c:axId val="1265385599"/>
      </c:barChart>
      <c:catAx>
        <c:axId val="37307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5385599"/>
        <c:crosses val="autoZero"/>
        <c:auto val="1"/>
        <c:lblAlgn val="ctr"/>
        <c:lblOffset val="100"/>
        <c:noMultiLvlLbl val="0"/>
      </c:catAx>
      <c:valAx>
        <c:axId val="1265385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AD6E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307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z-Cyrl-AZ" sz="1400" b="0">
                <a:solidFill>
                  <a:schemeClr val="tx1"/>
                </a:solidFill>
              </a:rPr>
              <a:t>Структура прочих финансовых обязательств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307116104868914E-2"/>
          <c:y val="0.10144268713869718"/>
          <c:w val="0.75970509304314504"/>
          <c:h val="0.69039887215036355"/>
        </c:manualLayout>
      </c:layout>
      <c:barChart>
        <c:barDir val="col"/>
        <c:grouping val="clustered"/>
        <c:varyColors val="0"/>
        <c:ser>
          <c:idx val="0"/>
          <c:order val="0"/>
          <c:tx>
            <c:v>01.07.2024</c:v>
          </c:tx>
          <c:spPr>
            <a:solidFill>
              <a:srgbClr val="1047FF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'Анализ обязательств'!$B$18:$B$23</c:f>
              <c:strCache>
                <c:ptCount val="6"/>
                <c:pt idx="0">
                  <c:v>Обязательства по аренде</c:v>
                </c:pt>
                <c:pt idx="1">
                  <c:v>Незавершенные расчеты</c:v>
                </c:pt>
                <c:pt idx="2">
                  <c:v>Обязательства по программе лояльности</c:v>
                </c:pt>
                <c:pt idx="3">
                  <c:v>Производные финансовые обязательства</c:v>
                </c:pt>
                <c:pt idx="4">
                  <c:v>Кредиторская задолженность</c:v>
                </c:pt>
                <c:pt idx="5">
                  <c:v>Расчеты с операторами услуг платежной инфраструктуры</c:v>
                </c:pt>
              </c:strCache>
            </c:strRef>
          </c:cat>
          <c:val>
            <c:numRef>
              <c:f>'Анализ обязательств'!$C$18:$C$23</c:f>
              <c:numCache>
                <c:formatCode>General</c:formatCode>
                <c:ptCount val="6"/>
                <c:pt idx="0" formatCode="#,##0">
                  <c:v>1015</c:v>
                </c:pt>
                <c:pt idx="1">
                  <c:v>168</c:v>
                </c:pt>
                <c:pt idx="2">
                  <c:v>131</c:v>
                </c:pt>
                <c:pt idx="3">
                  <c:v>82</c:v>
                </c:pt>
                <c:pt idx="4">
                  <c:v>64</c:v>
                </c:pt>
                <c:pt idx="5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B-40EA-A0D3-B28CBB680147}"/>
            </c:ext>
          </c:extLst>
        </c:ser>
        <c:ser>
          <c:idx val="1"/>
          <c:order val="1"/>
          <c:tx>
            <c:v>31.12.2023</c:v>
          </c:tx>
          <c:spPr>
            <a:solidFill>
              <a:schemeClr val="accent5">
                <a:lumMod val="20000"/>
                <a:lumOff val="8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'Анализ обязательств'!$B$18:$B$23</c:f>
              <c:strCache>
                <c:ptCount val="6"/>
                <c:pt idx="0">
                  <c:v>Обязательства по аренде</c:v>
                </c:pt>
                <c:pt idx="1">
                  <c:v>Незавершенные расчеты</c:v>
                </c:pt>
                <c:pt idx="2">
                  <c:v>Обязательства по программе лояльности</c:v>
                </c:pt>
                <c:pt idx="3">
                  <c:v>Производные финансовые обязательства</c:v>
                </c:pt>
                <c:pt idx="4">
                  <c:v>Кредиторская задолженность</c:v>
                </c:pt>
                <c:pt idx="5">
                  <c:v>Расчеты с операторами услуг платежной инфраструктуры</c:v>
                </c:pt>
              </c:strCache>
            </c:strRef>
          </c:cat>
          <c:val>
            <c:numRef>
              <c:f>'Анализ обязательств'!$D$18:$D$23</c:f>
              <c:numCache>
                <c:formatCode>General</c:formatCode>
                <c:ptCount val="6"/>
                <c:pt idx="0">
                  <c:v>818</c:v>
                </c:pt>
                <c:pt idx="1">
                  <c:v>0</c:v>
                </c:pt>
                <c:pt idx="2">
                  <c:v>102</c:v>
                </c:pt>
                <c:pt idx="3">
                  <c:v>19</c:v>
                </c:pt>
                <c:pt idx="4">
                  <c:v>76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B-40EA-A0D3-B28CBB680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axId val="2033301511"/>
        <c:axId val="2033721351"/>
      </c:barChart>
      <c:catAx>
        <c:axId val="2033301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3721351"/>
        <c:crosses val="autoZero"/>
        <c:auto val="1"/>
        <c:lblAlgn val="ctr"/>
        <c:lblOffset val="100"/>
        <c:noMultiLvlLbl val="0"/>
      </c:catAx>
      <c:valAx>
        <c:axId val="2033721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3301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z-Cyrl-AZ" b="0">
                <a:solidFill>
                  <a:schemeClr val="tx1"/>
                </a:solidFill>
              </a:rPr>
              <a:t>Структура прочих обязательств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01.07.2024</c:v>
          </c:tx>
          <c:spPr>
            <a:solidFill>
              <a:srgbClr val="1047FF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strRef>
              <c:f>'Анализ обязательств'!$B$29:$B$34</c:f>
              <c:strCache>
                <c:ptCount val="6"/>
                <c:pt idx="0">
                  <c:v>Расчеты по выданным банковским гарантиям</c:v>
                </c:pt>
                <c:pt idx="1">
                  <c:v>Начисленные затраты на вознаграждения работникам</c:v>
                </c:pt>
                <c:pt idx="2">
                  <c:v>Налоги к уплате за исключением налога на прибыль</c:v>
                </c:pt>
                <c:pt idx="3">
                  <c:v>Расчеты по социальному страхованию и обеспечению</c:v>
                </c:pt>
                <c:pt idx="4">
                  <c:v>Резерв по условным обязательствам</c:v>
                </c:pt>
                <c:pt idx="5">
                  <c:v>Прочее</c:v>
                </c:pt>
              </c:strCache>
            </c:strRef>
          </c:cat>
          <c:val>
            <c:numRef>
              <c:f>'Анализ обязательств'!$C$29:$C$34</c:f>
              <c:numCache>
                <c:formatCode>#,##0</c:formatCode>
                <c:ptCount val="6"/>
                <c:pt idx="0">
                  <c:v>1401</c:v>
                </c:pt>
                <c:pt idx="1">
                  <c:v>1091</c:v>
                </c:pt>
                <c:pt idx="2" formatCode="General">
                  <c:v>252</c:v>
                </c:pt>
                <c:pt idx="3" formatCode="General">
                  <c:v>151</c:v>
                </c:pt>
                <c:pt idx="4" formatCode="General">
                  <c:v>126</c:v>
                </c:pt>
                <c:pt idx="5" formatCode="General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B-4E4F-91E4-259F08740D7B}"/>
            </c:ext>
          </c:extLst>
        </c:ser>
        <c:ser>
          <c:idx val="1"/>
          <c:order val="1"/>
          <c:tx>
            <c:v>31.12.2023</c:v>
          </c:tx>
          <c:spPr>
            <a:solidFill>
              <a:schemeClr val="accent5">
                <a:lumMod val="40000"/>
                <a:lumOff val="6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'Анализ обязательств'!$B$29:$B$34</c:f>
              <c:strCache>
                <c:ptCount val="6"/>
                <c:pt idx="0">
                  <c:v>Расчеты по выданным банковским гарантиям</c:v>
                </c:pt>
                <c:pt idx="1">
                  <c:v>Начисленные затраты на вознаграждения работникам</c:v>
                </c:pt>
                <c:pt idx="2">
                  <c:v>Налоги к уплате за исключением налога на прибыль</c:v>
                </c:pt>
                <c:pt idx="3">
                  <c:v>Расчеты по социальному страхованию и обеспечению</c:v>
                </c:pt>
                <c:pt idx="4">
                  <c:v>Резерв по условным обязательствам</c:v>
                </c:pt>
                <c:pt idx="5">
                  <c:v>Прочее</c:v>
                </c:pt>
              </c:strCache>
            </c:strRef>
          </c:cat>
          <c:val>
            <c:numRef>
              <c:f>'Анализ обязательств'!$D$29:$D$34</c:f>
              <c:numCache>
                <c:formatCode>General</c:formatCode>
                <c:ptCount val="6"/>
                <c:pt idx="0" formatCode="#,##0">
                  <c:v>1070</c:v>
                </c:pt>
                <c:pt idx="1">
                  <c:v>600</c:v>
                </c:pt>
                <c:pt idx="2">
                  <c:v>175</c:v>
                </c:pt>
                <c:pt idx="3">
                  <c:v>45</c:v>
                </c:pt>
                <c:pt idx="4">
                  <c:v>178</c:v>
                </c:pt>
                <c:pt idx="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B-4E4F-91E4-259F08740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axId val="2033301511"/>
        <c:axId val="2033721351"/>
      </c:barChart>
      <c:catAx>
        <c:axId val="2033301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3721351"/>
        <c:crosses val="autoZero"/>
        <c:auto val="1"/>
        <c:lblAlgn val="ctr"/>
        <c:lblOffset val="100"/>
        <c:noMultiLvlLbl val="0"/>
      </c:catAx>
      <c:valAx>
        <c:axId val="2033721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3301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az-Cyrl-AZ" sz="1300" b="0">
                <a:solidFill>
                  <a:schemeClr val="tx1"/>
                </a:solidFill>
                <a:latin typeface="+mn-lt"/>
              </a:rPr>
              <a:t>Структура привлеченных средств (2024 г)</a:t>
            </a:r>
          </a:p>
        </c:rich>
      </c:tx>
      <c:layout>
        <c:manualLayout>
          <c:xMode val="edge"/>
          <c:yMode val="edge"/>
          <c:x val="0.21577386057724196"/>
          <c:y val="1.300186369989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0209019327129563"/>
          <c:y val="0.17917837875587062"/>
          <c:w val="0.38733016958738742"/>
          <c:h val="0.76521326186776539"/>
        </c:manualLayout>
      </c:layout>
      <c:pieChart>
        <c:varyColors val="1"/>
        <c:ser>
          <c:idx val="0"/>
          <c:order val="0"/>
          <c:spPr>
            <a:solidFill>
              <a:schemeClr val="accent5">
                <a:lumMod val="20000"/>
                <a:lumOff val="80000"/>
              </a:schemeClr>
            </a:solidFill>
            <a:ln w="9525">
              <a:solidFill>
                <a:schemeClr val="tx1">
                  <a:lumMod val="65000"/>
                  <a:lumOff val="35000"/>
                </a:schemeClr>
              </a:solidFill>
            </a:ln>
          </c:spPr>
          <c:dPt>
            <c:idx val="0"/>
            <c:bubble3D val="0"/>
            <c:spPr>
              <a:solidFill>
                <a:srgbClr val="EE7100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20-4874-AC91-7511B6EBA0DA}"/>
              </c:ext>
            </c:extLst>
          </c:dPt>
          <c:dPt>
            <c:idx val="1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20-4874-AC91-7511B6EBA0DA}"/>
              </c:ext>
            </c:extLst>
          </c:dPt>
          <c:dPt>
            <c:idx val="2"/>
            <c:bubble3D val="0"/>
            <c:spPr>
              <a:solidFill>
                <a:srgbClr val="1047FF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20-4874-AC91-7511B6EBA0DA}"/>
              </c:ext>
            </c:extLst>
          </c:dPt>
          <c:dPt>
            <c:idx val="3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B20-4874-AC91-7511B6EBA0DA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20-4874-AC91-7511B6EBA0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'Анализ обязательств'!$N$56:$N$59</c:f>
              <c:strCache>
                <c:ptCount val="4"/>
                <c:pt idx="0">
                  <c:v>Счета других банков </c:v>
                </c:pt>
                <c:pt idx="1">
                  <c:v>Выпущенные долговые 
ценные бумаги</c:v>
                </c:pt>
                <c:pt idx="2">
                  <c:v>Средства физ. лиц</c:v>
                </c:pt>
                <c:pt idx="3">
                  <c:v>Средства юр. лиц</c:v>
                </c:pt>
              </c:strCache>
            </c:strRef>
          </c:cat>
          <c:val>
            <c:numRef>
              <c:f>'Анализ обязательств'!$O$56:$O$59</c:f>
              <c:numCache>
                <c:formatCode>General</c:formatCode>
                <c:ptCount val="4"/>
                <c:pt idx="0" formatCode="#,##0">
                  <c:v>7276</c:v>
                </c:pt>
                <c:pt idx="1">
                  <c:v>0</c:v>
                </c:pt>
                <c:pt idx="2" formatCode="#,##0">
                  <c:v>27665</c:v>
                </c:pt>
                <c:pt idx="3" formatCode="#,##0">
                  <c:v>86220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20-4874-AC91-7511B6EBA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az-Cyrl-AZ" sz="1300" b="0">
                <a:solidFill>
                  <a:schemeClr val="tx1"/>
                </a:solidFill>
                <a:latin typeface="+mn-lt"/>
              </a:rPr>
              <a:t>Структура привлеченных средств (2023 г)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1047FF"/>
            </a:solidFill>
            <a:ln w="9525">
              <a:solidFill>
                <a:schemeClr val="tx1">
                  <a:lumMod val="65000"/>
                  <a:lumOff val="35000"/>
                </a:schemeClr>
              </a:solidFill>
            </a:ln>
          </c:spPr>
          <c:dPt>
            <c:idx val="0"/>
            <c:bubble3D val="0"/>
            <c:spPr>
              <a:solidFill>
                <a:srgbClr val="1047FF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E9-450C-9F08-3B323949EFA8}"/>
              </c:ext>
            </c:extLst>
          </c:dPt>
          <c:dPt>
            <c:idx val="1"/>
            <c:bubble3D val="0"/>
            <c:spPr>
              <a:solidFill>
                <a:srgbClr val="1047FF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E9-450C-9F08-3B323949EFA8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E9-450C-9F08-3B323949EFA8}"/>
              </c:ext>
            </c:extLst>
          </c:dPt>
          <c:dPt>
            <c:idx val="3"/>
            <c:bubble3D val="0"/>
            <c:spPr>
              <a:solidFill>
                <a:srgbClr val="EE7100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E9-450C-9F08-3B323949EF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'Анализ обязательств'!$N$56:$N$59</c:f>
              <c:strCache>
                <c:ptCount val="4"/>
                <c:pt idx="0">
                  <c:v>Счета других банков </c:v>
                </c:pt>
                <c:pt idx="1">
                  <c:v>Выпущенные долговые 
ценные бумаги</c:v>
                </c:pt>
                <c:pt idx="2">
                  <c:v>Средства физ. лиц</c:v>
                </c:pt>
                <c:pt idx="3">
                  <c:v>Средства юр. лиц</c:v>
                </c:pt>
              </c:strCache>
            </c:strRef>
          </c:cat>
          <c:val>
            <c:numRef>
              <c:f>'Анализ обязательств'!$P$56:$P$59</c:f>
              <c:numCache>
                <c:formatCode>General</c:formatCode>
                <c:ptCount val="4"/>
                <c:pt idx="0" formatCode="#,##0">
                  <c:v>19516</c:v>
                </c:pt>
                <c:pt idx="1">
                  <c:v>0</c:v>
                </c:pt>
                <c:pt idx="2" formatCode="#,##0">
                  <c:v>107305</c:v>
                </c:pt>
                <c:pt idx="3" formatCode="#,##0">
                  <c:v>27516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E9-450C-9F08-3B323949E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203764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az-Cyrl-AZ" b="0">
                <a:solidFill>
                  <a:schemeClr val="tx1"/>
                </a:solidFill>
                <a:latin typeface="+mn-lt"/>
              </a:rPr>
              <a:t>Депозитная база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203764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6.8531951640759925E-2"/>
          <c:y val="0.10389184892488293"/>
          <c:w val="0.80027457060095464"/>
          <c:h val="0.77448427212874904"/>
        </c:manualLayout>
      </c:layout>
      <c:barChart>
        <c:barDir val="col"/>
        <c:grouping val="clustered"/>
        <c:varyColors val="0"/>
        <c:ser>
          <c:idx val="0"/>
          <c:order val="0"/>
          <c:tx>
            <c:v>01.07.2024</c:v>
          </c:tx>
          <c:spPr>
            <a:solidFill>
              <a:srgbClr val="EE7100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'Анализ обязательств'!$Q$76:$Q$79</c:f>
              <c:strCache>
                <c:ptCount val="4"/>
                <c:pt idx="0">
                  <c:v>﻿Расчетные 
счета юр. лиц</c:v>
                </c:pt>
                <c:pt idx="1">
                  <c:v>﻿﻿Срочные 
депозиты юр. лиц</c:v>
                </c:pt>
                <c:pt idx="2">
                  <c:v>Текущие
 счета физ.лиц</c:v>
                </c:pt>
                <c:pt idx="3">
                  <c:v>Срочные
 вклады физ. лиц</c:v>
                </c:pt>
              </c:strCache>
            </c:strRef>
          </c:cat>
          <c:val>
            <c:numRef>
              <c:f>'Анализ обязательств'!$R$76:$R$79</c:f>
              <c:numCache>
                <c:formatCode>#,##0</c:formatCode>
                <c:ptCount val="4"/>
                <c:pt idx="0">
                  <c:v>16177</c:v>
                </c:pt>
                <c:pt idx="1">
                  <c:v>70043</c:v>
                </c:pt>
                <c:pt idx="2">
                  <c:v>8883</c:v>
                </c:pt>
                <c:pt idx="3">
                  <c:v>18782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5-4D7B-938E-61883CF29B62}"/>
            </c:ext>
          </c:extLst>
        </c:ser>
        <c:ser>
          <c:idx val="1"/>
          <c:order val="1"/>
          <c:tx>
            <c:v>31.12.2023</c:v>
          </c:tx>
          <c:spPr>
            <a:solidFill>
              <a:srgbClr val="1047FF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'Анализ обязательств'!$Q$76:$Q$79</c:f>
              <c:strCache>
                <c:ptCount val="4"/>
                <c:pt idx="0">
                  <c:v>﻿Расчетные 
счета юр. лиц</c:v>
                </c:pt>
                <c:pt idx="1">
                  <c:v>﻿﻿Срочные 
депозиты юр. лиц</c:v>
                </c:pt>
                <c:pt idx="2">
                  <c:v>Текущие
 счета физ.лиц</c:v>
                </c:pt>
                <c:pt idx="3">
                  <c:v>Срочные
 вклады физ. лиц</c:v>
                </c:pt>
              </c:strCache>
            </c:strRef>
          </c:cat>
          <c:val>
            <c:numRef>
              <c:f>'Анализ обязательств'!$S$76:$S$79</c:f>
              <c:numCache>
                <c:formatCode>#,##0</c:formatCode>
                <c:ptCount val="4"/>
                <c:pt idx="0">
                  <c:v>49938</c:v>
                </c:pt>
                <c:pt idx="1">
                  <c:v>57367</c:v>
                </c:pt>
                <c:pt idx="2">
                  <c:v>7230</c:v>
                </c:pt>
                <c:pt idx="3">
                  <c:v>20286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F5-4D7B-938E-61883CF29B62}"/>
            </c:ext>
          </c:extLst>
        </c:ser>
        <c:ser>
          <c:idx val="2"/>
          <c:order val="2"/>
          <c:tx>
            <c:v>31.12.2022</c:v>
          </c:tx>
          <c:spPr>
            <a:solidFill>
              <a:schemeClr val="accent5">
                <a:lumMod val="20000"/>
                <a:lumOff val="8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'Анализ обязательств'!$Q$76:$Q$79</c:f>
              <c:strCache>
                <c:ptCount val="4"/>
                <c:pt idx="0">
                  <c:v>﻿Расчетные 
счета юр. лиц</c:v>
                </c:pt>
                <c:pt idx="1">
                  <c:v>﻿﻿Срочные 
депозиты юр. лиц</c:v>
                </c:pt>
                <c:pt idx="2">
                  <c:v>Текущие
 счета физ.лиц</c:v>
                </c:pt>
                <c:pt idx="3">
                  <c:v>Срочные
 вклады физ. лиц</c:v>
                </c:pt>
              </c:strCache>
            </c:strRef>
          </c:cat>
          <c:val>
            <c:numRef>
              <c:f>'Анализ обязательств'!$T$76:$T$79</c:f>
              <c:numCache>
                <c:formatCode>#,##0</c:formatCode>
                <c:ptCount val="4"/>
                <c:pt idx="0">
                  <c:v>11158</c:v>
                </c:pt>
                <c:pt idx="1">
                  <c:v>59078</c:v>
                </c:pt>
                <c:pt idx="2">
                  <c:v>4442</c:v>
                </c:pt>
                <c:pt idx="3">
                  <c:v>19189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F5-4D7B-938E-61883CF29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033301511"/>
        <c:axId val="2033721351"/>
      </c:barChart>
      <c:catAx>
        <c:axId val="2033301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Times New Roman"/>
                <a:cs typeface="Times New Roman"/>
              </a:defRPr>
            </a:pPr>
            <a:endParaRPr lang="ru-RU"/>
          </a:p>
        </c:txPr>
        <c:crossAx val="2033721351"/>
        <c:crosses val="autoZero"/>
        <c:auto val="1"/>
        <c:lblAlgn val="ctr"/>
        <c:lblOffset val="100"/>
        <c:noMultiLvlLbl val="0"/>
      </c:catAx>
      <c:valAx>
        <c:axId val="2033721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3301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ru-RU" sz="1300" b="0">
                <a:solidFill>
                  <a:schemeClr val="tx1"/>
                </a:solidFill>
              </a:rPr>
              <a:t>Динамика совокупных доходов</a:t>
            </a:r>
            <a:r>
              <a:rPr lang="ru-RU" sz="1300" b="0" baseline="0">
                <a:solidFill>
                  <a:schemeClr val="tx1"/>
                </a:solidFill>
              </a:rPr>
              <a:t> и расходов за период 2020-2024 гг.</a:t>
            </a:r>
            <a:endParaRPr lang="ru-RU" sz="1300" b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161626606607871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8.0807983332125105E-2"/>
          <c:y val="0.17289100714631986"/>
          <c:w val="0.74451750100465297"/>
          <c:h val="0.70145417476967309"/>
        </c:manualLayout>
      </c:layout>
      <c:lineChart>
        <c:grouping val="standard"/>
        <c:varyColors val="0"/>
        <c:ser>
          <c:idx val="0"/>
          <c:order val="0"/>
          <c:tx>
            <c:strRef>
              <c:f>'Детализация доходов и расходов '!$A$68</c:f>
              <c:strCache>
                <c:ptCount val="1"/>
                <c:pt idx="0">
                  <c:v>ИТОГО ДОХОДЫ</c:v>
                </c:pt>
              </c:strCache>
            </c:strRef>
          </c:tx>
          <c:spPr>
            <a:ln w="28575" cap="rnd">
              <a:solidFill>
                <a:srgbClr val="EE71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E7100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'Графики и Структура капитала'!$A$2:$A$6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'Детализация доходов и расходов '!$B$68:$F$68</c:f>
              <c:numCache>
                <c:formatCode>General</c:formatCode>
                <c:ptCount val="5"/>
                <c:pt idx="0">
                  <c:v>8640</c:v>
                </c:pt>
                <c:pt idx="1">
                  <c:v>8245</c:v>
                </c:pt>
                <c:pt idx="2">
                  <c:v>13581</c:v>
                </c:pt>
                <c:pt idx="3">
                  <c:v>14436</c:v>
                </c:pt>
                <c:pt idx="4">
                  <c:v>11311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0-D849-B8A0-900F6847BC16}"/>
            </c:ext>
          </c:extLst>
        </c:ser>
        <c:ser>
          <c:idx val="1"/>
          <c:order val="1"/>
          <c:tx>
            <c:strRef>
              <c:f>'Детализация доходов и расходов '!$A$79</c:f>
              <c:strCache>
                <c:ptCount val="1"/>
                <c:pt idx="0">
                  <c:v>ИТОГО РАСХОДЫ</c:v>
                </c:pt>
              </c:strCache>
            </c:strRef>
          </c:tx>
          <c:spPr>
            <a:ln w="28575" cap="rnd">
              <a:solidFill>
                <a:srgbClr val="1047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1047FF"/>
              </a:solidFill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'Детализация доходов и расходов '!$B$80:$F$80</c:f>
              <c:numCache>
                <c:formatCode>General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0-D849-B8A0-900F6847B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124175"/>
        <c:axId val="372710079"/>
      </c:lineChart>
      <c:catAx>
        <c:axId val="37312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2710079"/>
        <c:crosses val="autoZero"/>
        <c:auto val="1"/>
        <c:lblAlgn val="ctr"/>
        <c:lblOffset val="100"/>
        <c:noMultiLvlLbl val="0"/>
      </c:catAx>
      <c:valAx>
        <c:axId val="372710079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rgbClr val="FDE5FF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312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177454358544808"/>
          <c:y val="0.42239950872549648"/>
          <c:w val="0.19983062266134477"/>
          <c:h val="0.353623597298214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ru-RU" sz="1300" b="0">
                <a:solidFill>
                  <a:schemeClr val="tx1"/>
                </a:solidFill>
                <a:latin typeface="+mn-lt"/>
              </a:rPr>
              <a:t>Динамика</a:t>
            </a:r>
            <a:r>
              <a:rPr lang="ru-RU" sz="1300" b="0" baseline="0">
                <a:solidFill>
                  <a:schemeClr val="tx1"/>
                </a:solidFill>
                <a:latin typeface="+mn-lt"/>
              </a:rPr>
              <a:t> структуры доходов за период 2020-2024 гг.</a:t>
            </a:r>
            <a:endParaRPr lang="ru-RU" sz="1300" b="0">
              <a:solidFill>
                <a:schemeClr val="tx1"/>
              </a:solidFill>
              <a:latin typeface="+mn-lt"/>
            </a:endParaRPr>
          </a:p>
        </c:rich>
      </c:tx>
      <c:layout>
        <c:manualLayout>
          <c:xMode val="edge"/>
          <c:yMode val="edge"/>
          <c:x val="0.17596523094104655"/>
          <c:y val="2.5591635164119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34165424041827"/>
          <c:y val="0.32849240987221051"/>
          <c:w val="0.86934579701645254"/>
          <c:h val="0.57951807116020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'Детализация доходов и расходов '!$A$62</c:f>
              <c:strCache>
                <c:ptCount val="1"/>
                <c:pt idx="0">
                  <c:v>Процентные доходы</c:v>
                </c:pt>
              </c:strCache>
            </c:strRef>
          </c:tx>
          <c:spPr>
            <a:solidFill>
              <a:srgbClr val="1047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активов'!$T$9:$T$13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'Детализация доходов и расходов '!$B$62:$F$62</c:f>
              <c:numCache>
                <c:formatCode>General</c:formatCode>
                <c:ptCount val="5"/>
                <c:pt idx="0">
                  <c:v>7622</c:v>
                </c:pt>
                <c:pt idx="1">
                  <c:v>7560</c:v>
                </c:pt>
                <c:pt idx="2">
                  <c:v>12089</c:v>
                </c:pt>
                <c:pt idx="3">
                  <c:v>12798</c:v>
                </c:pt>
                <c:pt idx="4">
                  <c:v>10393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A-3A43-BF4D-D0D830E27878}"/>
            </c:ext>
          </c:extLst>
        </c:ser>
        <c:ser>
          <c:idx val="1"/>
          <c:order val="1"/>
          <c:tx>
            <c:strRef>
              <c:f>'Детализация доходов и расходов '!$A$64</c:f>
              <c:strCache>
                <c:ptCount val="1"/>
                <c:pt idx="0">
                  <c:v>Комиссионные доходы</c:v>
                </c:pt>
              </c:strCache>
            </c:strRef>
          </c:tx>
          <c:spPr>
            <a:solidFill>
              <a:srgbClr val="EE71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активов'!$T$9:$T$13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'Детализация доходов и расходов '!$B$64:$F$64</c:f>
              <c:numCache>
                <c:formatCode>General</c:formatCode>
                <c:ptCount val="5"/>
                <c:pt idx="0">
                  <c:v>395</c:v>
                </c:pt>
                <c:pt idx="1">
                  <c:v>512</c:v>
                </c:pt>
                <c:pt idx="2">
                  <c:v>715</c:v>
                </c:pt>
                <c:pt idx="3">
                  <c:v>981</c:v>
                </c:pt>
                <c:pt idx="4">
                  <c:v>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3A-3A43-BF4D-D0D830E27878}"/>
            </c:ext>
          </c:extLst>
        </c:ser>
        <c:ser>
          <c:idx val="2"/>
          <c:order val="2"/>
          <c:tx>
            <c:strRef>
              <c:f>'Детализация доходов и расходов '!$A$66</c:f>
              <c:strCache>
                <c:ptCount val="1"/>
                <c:pt idx="0">
                  <c:v>Прочие непроцентные доходы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'Анализ активов'!$T$9:$T$13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'Детализация доходов и расходов '!$B$66:$F$66</c:f>
              <c:numCache>
                <c:formatCode>General</c:formatCode>
                <c:ptCount val="5"/>
                <c:pt idx="0">
                  <c:v>623</c:v>
                </c:pt>
                <c:pt idx="1">
                  <c:v>173</c:v>
                </c:pt>
                <c:pt idx="2">
                  <c:v>777</c:v>
                </c:pt>
                <c:pt idx="3">
                  <c:v>657</c:v>
                </c:pt>
                <c:pt idx="4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3A-3A43-BF4D-D0D830E27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414488032"/>
        <c:axId val="444242784"/>
      </c:barChart>
      <c:catAx>
        <c:axId val="41448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4242784"/>
        <c:crosses val="autoZero"/>
        <c:auto val="1"/>
        <c:lblAlgn val="ctr"/>
        <c:lblOffset val="100"/>
        <c:noMultiLvlLbl val="0"/>
      </c:catAx>
      <c:valAx>
        <c:axId val="44424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448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9133386157887179E-2"/>
          <c:y val="0.13022923276006662"/>
          <c:w val="0.83144703922535079"/>
          <c:h val="0.166528974794735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'Графики и Структура капитала'!$K$1</c:f>
              <c:strCache>
                <c:ptCount val="1"/>
                <c:pt idx="0">
                  <c:v>AU</c:v>
                </c:pt>
              </c:strCache>
            </c:strRef>
          </c:tx>
          <c:spPr>
            <a:ln w="15875" cap="rnd">
              <a:solidFill>
                <a:srgbClr val="A49AF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'Графики и Структура капитала'!$A$2:$A$6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'Графики и Структура капитала'!$K$2:$K$6</c:f>
              <c:numCache>
                <c:formatCode>0.00%</c:formatCode>
                <c:ptCount val="5"/>
                <c:pt idx="0">
                  <c:v>8.5774655930557941E-2</c:v>
                </c:pt>
                <c:pt idx="1">
                  <c:v>7.3673958198749737E-2</c:v>
                </c:pt>
                <c:pt idx="2">
                  <c:v>0.10127975082100417</c:v>
                </c:pt>
                <c:pt idx="3">
                  <c:v>7.2516510889188507E-2</c:v>
                </c:pt>
                <c:pt idx="4">
                  <c:v>7.0748150027775306E-2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4-754B-97DB-306F85006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078367"/>
        <c:axId val="1265385599"/>
      </c:lineChart>
      <c:catAx>
        <c:axId val="37307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5385599"/>
        <c:crosses val="autoZero"/>
        <c:auto val="1"/>
        <c:lblAlgn val="ctr"/>
        <c:lblOffset val="100"/>
        <c:noMultiLvlLbl val="0"/>
      </c:catAx>
      <c:valAx>
        <c:axId val="1265385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AD6E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307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'Графики и Структура капитала'!$L$1</c:f>
              <c:strCache>
                <c:ptCount val="1"/>
                <c:pt idx="0">
                  <c:v>CIR</c:v>
                </c:pt>
              </c:strCache>
            </c:strRef>
          </c:tx>
          <c:spPr>
            <a:ln w="15875" cap="rnd">
              <a:solidFill>
                <a:srgbClr val="A49AF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'Графики и Структура капитала'!$A$2:$A$6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'Графики и Структура капитала'!$L$2:$L$6</c:f>
              <c:numCache>
                <c:formatCode>0.00%</c:formatCode>
                <c:ptCount val="5"/>
                <c:pt idx="0">
                  <c:v>0.52383322962041068</c:v>
                </c:pt>
                <c:pt idx="1">
                  <c:v>0.38650793650793652</c:v>
                </c:pt>
                <c:pt idx="2">
                  <c:v>0.5723384895359418</c:v>
                </c:pt>
                <c:pt idx="3">
                  <c:v>0.54867948116893261</c:v>
                </c:pt>
                <c:pt idx="4">
                  <c:v>0.60723563937265468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1-FC42-B6E2-5BD6B086D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078367"/>
        <c:axId val="1265385599"/>
      </c:lineChart>
      <c:catAx>
        <c:axId val="37307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5385599"/>
        <c:crosses val="autoZero"/>
        <c:auto val="1"/>
        <c:lblAlgn val="ctr"/>
        <c:lblOffset val="100"/>
        <c:noMultiLvlLbl val="0"/>
      </c:catAx>
      <c:valAx>
        <c:axId val="1265385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AD6E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307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'Графики и Структура капитала'!$M$1</c:f>
              <c:strCache>
                <c:ptCount val="1"/>
                <c:pt idx="0">
                  <c:v>SPREAD</c:v>
                </c:pt>
              </c:strCache>
            </c:strRef>
          </c:tx>
          <c:spPr>
            <a:ln w="15875" cap="rnd">
              <a:solidFill>
                <a:srgbClr val="A49AF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'Графики и Структура капитала'!$A$2:$A$6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'Графики и Структура капитала'!$M$2:$M$6</c:f>
              <c:numCache>
                <c:formatCode>0.00%</c:formatCode>
                <c:ptCount val="5"/>
                <c:pt idx="0">
                  <c:v>0.20230086878798942</c:v>
                </c:pt>
                <c:pt idx="1">
                  <c:v>0.1566931116522372</c:v>
                </c:pt>
                <c:pt idx="2">
                  <c:v>0.24686886266745439</c:v>
                </c:pt>
                <c:pt idx="3">
                  <c:v>0.17829378241499427</c:v>
                </c:pt>
                <c:pt idx="4">
                  <c:v>0.14240937521100633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A-014D-AE17-A7B3DBAB5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078367"/>
        <c:axId val="1265385599"/>
      </c:lineChart>
      <c:catAx>
        <c:axId val="37307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5385599"/>
        <c:crosses val="autoZero"/>
        <c:auto val="1"/>
        <c:lblAlgn val="ctr"/>
        <c:lblOffset val="100"/>
        <c:noMultiLvlLbl val="0"/>
      </c:catAx>
      <c:valAx>
        <c:axId val="1265385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AD6E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307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0" Type="http://schemas.openxmlformats.org/officeDocument/2006/relationships/chart" Target="../charts/chart35.xml"/><Relationship Id="rId4" Type="http://schemas.openxmlformats.org/officeDocument/2006/relationships/chart" Target="../charts/chart29.xml"/><Relationship Id="rId9" Type="http://schemas.openxmlformats.org/officeDocument/2006/relationships/chart" Target="../charts/chart34.xml"/><Relationship Id="rId14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2.xml"/><Relationship Id="rId13" Type="http://schemas.openxmlformats.org/officeDocument/2006/relationships/chart" Target="../charts/chart57.xml"/><Relationship Id="rId18" Type="http://schemas.openxmlformats.org/officeDocument/2006/relationships/chart" Target="../charts/chart62.xml"/><Relationship Id="rId26" Type="http://schemas.openxmlformats.org/officeDocument/2006/relationships/image" Target="../media/image14.png"/><Relationship Id="rId3" Type="http://schemas.openxmlformats.org/officeDocument/2006/relationships/chart" Target="../charts/chart47.xml"/><Relationship Id="rId21" Type="http://schemas.openxmlformats.org/officeDocument/2006/relationships/chart" Target="../charts/chart65.xml"/><Relationship Id="rId7" Type="http://schemas.openxmlformats.org/officeDocument/2006/relationships/chart" Target="../charts/chart51.xml"/><Relationship Id="rId12" Type="http://schemas.openxmlformats.org/officeDocument/2006/relationships/chart" Target="../charts/chart56.xml"/><Relationship Id="rId17" Type="http://schemas.openxmlformats.org/officeDocument/2006/relationships/chart" Target="../charts/chart61.xml"/><Relationship Id="rId25" Type="http://schemas.openxmlformats.org/officeDocument/2006/relationships/image" Target="../media/image13.png"/><Relationship Id="rId2" Type="http://schemas.openxmlformats.org/officeDocument/2006/relationships/chart" Target="../charts/chart46.xml"/><Relationship Id="rId16" Type="http://schemas.openxmlformats.org/officeDocument/2006/relationships/chart" Target="../charts/chart60.xml"/><Relationship Id="rId20" Type="http://schemas.openxmlformats.org/officeDocument/2006/relationships/chart" Target="../charts/chart64.xml"/><Relationship Id="rId29" Type="http://schemas.openxmlformats.org/officeDocument/2006/relationships/chart" Target="../charts/chart69.xml"/><Relationship Id="rId1" Type="http://schemas.openxmlformats.org/officeDocument/2006/relationships/chart" Target="../charts/chart45.xml"/><Relationship Id="rId6" Type="http://schemas.openxmlformats.org/officeDocument/2006/relationships/chart" Target="../charts/chart50.xml"/><Relationship Id="rId11" Type="http://schemas.openxmlformats.org/officeDocument/2006/relationships/chart" Target="../charts/chart55.xml"/><Relationship Id="rId24" Type="http://schemas.openxmlformats.org/officeDocument/2006/relationships/image" Target="../media/image12.png"/><Relationship Id="rId5" Type="http://schemas.openxmlformats.org/officeDocument/2006/relationships/chart" Target="../charts/chart49.xml"/><Relationship Id="rId15" Type="http://schemas.openxmlformats.org/officeDocument/2006/relationships/chart" Target="../charts/chart59.xml"/><Relationship Id="rId23" Type="http://schemas.openxmlformats.org/officeDocument/2006/relationships/chart" Target="../charts/chart67.xml"/><Relationship Id="rId28" Type="http://schemas.openxmlformats.org/officeDocument/2006/relationships/chart" Target="../charts/chart68.xml"/><Relationship Id="rId10" Type="http://schemas.openxmlformats.org/officeDocument/2006/relationships/chart" Target="../charts/chart54.xml"/><Relationship Id="rId19" Type="http://schemas.openxmlformats.org/officeDocument/2006/relationships/chart" Target="../charts/chart63.xml"/><Relationship Id="rId4" Type="http://schemas.openxmlformats.org/officeDocument/2006/relationships/chart" Target="../charts/chart48.xml"/><Relationship Id="rId9" Type="http://schemas.openxmlformats.org/officeDocument/2006/relationships/chart" Target="../charts/chart53.xml"/><Relationship Id="rId14" Type="http://schemas.openxmlformats.org/officeDocument/2006/relationships/chart" Target="../charts/chart58.xml"/><Relationship Id="rId22" Type="http://schemas.openxmlformats.org/officeDocument/2006/relationships/chart" Target="../charts/chart66.xml"/><Relationship Id="rId27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331568</xdr:colOff>
      <xdr:row>54</xdr:row>
      <xdr:rowOff>68520</xdr:rowOff>
    </xdr:from>
    <xdr:to>
      <xdr:col>9</xdr:col>
      <xdr:colOff>10681</xdr:colOff>
      <xdr:row>60</xdr:row>
      <xdr:rowOff>987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91945" y="14098426"/>
          <a:ext cx="6436472" cy="1149300"/>
        </a:xfrm>
        <a:prstGeom prst="rect">
          <a:avLst/>
        </a:prstGeom>
      </xdr:spPr>
    </xdr:pic>
    <xdr:clientData/>
  </xdr:twoCellAnchor>
  <xdr:twoCellAnchor editAs="oneCell">
    <xdr:from>
      <xdr:col>4</xdr:col>
      <xdr:colOff>574819</xdr:colOff>
      <xdr:row>63</xdr:row>
      <xdr:rowOff>98026</xdr:rowOff>
    </xdr:from>
    <xdr:to>
      <xdr:col>8</xdr:col>
      <xdr:colOff>5056542</xdr:colOff>
      <xdr:row>67</xdr:row>
      <xdr:rowOff>8041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7428" y="16152483"/>
          <a:ext cx="7794766" cy="730126"/>
        </a:xfrm>
        <a:prstGeom prst="rect">
          <a:avLst/>
        </a:prstGeom>
      </xdr:spPr>
    </xdr:pic>
    <xdr:clientData/>
  </xdr:twoCellAnchor>
  <xdr:twoCellAnchor editAs="oneCell">
    <xdr:from>
      <xdr:col>7</xdr:col>
      <xdr:colOff>201173</xdr:colOff>
      <xdr:row>70</xdr:row>
      <xdr:rowOff>99423</xdr:rowOff>
    </xdr:from>
    <xdr:to>
      <xdr:col>8</xdr:col>
      <xdr:colOff>5091157</xdr:colOff>
      <xdr:row>75</xdr:row>
      <xdr:rowOff>188323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08564" y="17603336"/>
          <a:ext cx="5718245" cy="1124226"/>
        </a:xfrm>
        <a:prstGeom prst="rect">
          <a:avLst/>
        </a:prstGeom>
      </xdr:spPr>
    </xdr:pic>
    <xdr:clientData/>
  </xdr:twoCellAnchor>
  <xdr:twoCellAnchor editAs="oneCell">
    <xdr:from>
      <xdr:col>7</xdr:col>
      <xdr:colOff>92598</xdr:colOff>
      <xdr:row>78</xdr:row>
      <xdr:rowOff>465</xdr:rowOff>
    </xdr:from>
    <xdr:to>
      <xdr:col>9</xdr:col>
      <xdr:colOff>4113</xdr:colOff>
      <xdr:row>82</xdr:row>
      <xdr:rowOff>140165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99989" y="19160900"/>
          <a:ext cx="5847385" cy="967961"/>
        </a:xfrm>
        <a:prstGeom prst="rect">
          <a:avLst/>
        </a:prstGeom>
      </xdr:spPr>
    </xdr:pic>
    <xdr:clientData/>
  </xdr:twoCellAnchor>
  <xdr:twoCellAnchor editAs="oneCell">
    <xdr:from>
      <xdr:col>0</xdr:col>
      <xdr:colOff>5765800</xdr:colOff>
      <xdr:row>38</xdr:row>
      <xdr:rowOff>165100</xdr:rowOff>
    </xdr:from>
    <xdr:to>
      <xdr:col>0</xdr:col>
      <xdr:colOff>7962900</xdr:colOff>
      <xdr:row>43</xdr:row>
      <xdr:rowOff>79506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65800" y="8115300"/>
          <a:ext cx="2197100" cy="930405"/>
        </a:xfrm>
        <a:prstGeom prst="rect">
          <a:avLst/>
        </a:prstGeom>
      </xdr:spPr>
    </xdr:pic>
    <xdr:clientData/>
  </xdr:twoCellAnchor>
  <xdr:twoCellAnchor editAs="oneCell">
    <xdr:from>
      <xdr:col>8</xdr:col>
      <xdr:colOff>37589</xdr:colOff>
      <xdr:row>40</xdr:row>
      <xdr:rowOff>15488</xdr:rowOff>
    </xdr:from>
    <xdr:to>
      <xdr:col>8</xdr:col>
      <xdr:colOff>4969498</xdr:colOff>
      <xdr:row>45</xdr:row>
      <xdr:rowOff>167888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131491" y="11027317"/>
          <a:ext cx="4931909" cy="1159108"/>
        </a:xfrm>
        <a:prstGeom prst="rect">
          <a:avLst/>
        </a:prstGeom>
      </xdr:spPr>
    </xdr:pic>
    <xdr:clientData/>
  </xdr:twoCellAnchor>
  <xdr:twoCellAnchor editAs="oneCell">
    <xdr:from>
      <xdr:col>8</xdr:col>
      <xdr:colOff>81267</xdr:colOff>
      <xdr:row>46</xdr:row>
      <xdr:rowOff>198905</xdr:rowOff>
    </xdr:from>
    <xdr:to>
      <xdr:col>8</xdr:col>
      <xdr:colOff>4782436</xdr:colOff>
      <xdr:row>51</xdr:row>
      <xdr:rowOff>123789</xdr:rowOff>
    </xdr:to>
    <xdr:pic>
      <xdr:nvPicPr>
        <xdr:cNvPr id="3" name="Рисунок 9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D64060A9-588B-F84B-AE4B-66CC41B6B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175169" y="12418783"/>
          <a:ext cx="4701169" cy="1121007"/>
        </a:xfrm>
        <a:prstGeom prst="rect">
          <a:avLst/>
        </a:prstGeom>
      </xdr:spPr>
    </xdr:pic>
    <xdr:clientData/>
  </xdr:twoCellAnchor>
  <xdr:twoCellAnchor editAs="oneCell">
    <xdr:from>
      <xdr:col>8</xdr:col>
      <xdr:colOff>73442</xdr:colOff>
      <xdr:row>33</xdr:row>
      <xdr:rowOff>106166</xdr:rowOff>
    </xdr:from>
    <xdr:to>
      <xdr:col>8</xdr:col>
      <xdr:colOff>4996809</xdr:colOff>
      <xdr:row>39</xdr:row>
      <xdr:rowOff>7990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212775" y="9792033"/>
          <a:ext cx="4923367" cy="1121024"/>
        </a:xfrm>
        <a:prstGeom prst="rect">
          <a:avLst/>
        </a:prstGeom>
      </xdr:spPr>
    </xdr:pic>
    <xdr:clientData/>
  </xdr:twoCellAnchor>
  <xdr:twoCellAnchor editAs="oneCell">
    <xdr:from>
      <xdr:col>8</xdr:col>
      <xdr:colOff>112636</xdr:colOff>
      <xdr:row>25</xdr:row>
      <xdr:rowOff>38432</xdr:rowOff>
    </xdr:from>
    <xdr:to>
      <xdr:col>9</xdr:col>
      <xdr:colOff>1799</xdr:colOff>
      <xdr:row>31</xdr:row>
      <xdr:rowOff>29156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251969" y="8098699"/>
          <a:ext cx="4989007" cy="1209924"/>
        </a:xfrm>
        <a:prstGeom prst="rect">
          <a:avLst/>
        </a:prstGeom>
      </xdr:spPr>
    </xdr:pic>
    <xdr:clientData/>
  </xdr:twoCellAnchor>
  <xdr:twoCellAnchor editAs="oneCell">
    <xdr:from>
      <xdr:col>0</xdr:col>
      <xdr:colOff>4549255</xdr:colOff>
      <xdr:row>45</xdr:row>
      <xdr:rowOff>2</xdr:rowOff>
    </xdr:from>
    <xdr:to>
      <xdr:col>0</xdr:col>
      <xdr:colOff>7961195</xdr:colOff>
      <xdr:row>58</xdr:row>
      <xdr:rowOff>35982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549255" y="9610301"/>
          <a:ext cx="3411940" cy="29296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61941</xdr:colOff>
      <xdr:row>7</xdr:row>
      <xdr:rowOff>14705</xdr:rowOff>
    </xdr:from>
    <xdr:to>
      <xdr:col>5</xdr:col>
      <xdr:colOff>35985</xdr:colOff>
      <xdr:row>30</xdr:row>
      <xdr:rowOff>61941</xdr:rowOff>
    </xdr:to>
    <xdr:graphicFrame macro="">
      <xdr:nvGraphicFramePr>
        <xdr:cNvPr id="39" name="Диаграмма 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11289</xdr:colOff>
      <xdr:row>7</xdr:row>
      <xdr:rowOff>200378</xdr:rowOff>
    </xdr:from>
    <xdr:to>
      <xdr:col>11</xdr:col>
      <xdr:colOff>426156</xdr:colOff>
      <xdr:row>21</xdr:row>
      <xdr:rowOff>177800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16179</xdr:colOff>
      <xdr:row>7</xdr:row>
      <xdr:rowOff>202229</xdr:rowOff>
    </xdr:from>
    <xdr:to>
      <xdr:col>17</xdr:col>
      <xdr:colOff>431046</xdr:colOff>
      <xdr:row>21</xdr:row>
      <xdr:rowOff>180622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11</xdr:col>
      <xdr:colOff>414867</xdr:colOff>
      <xdr:row>36</xdr:row>
      <xdr:rowOff>181593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17</xdr:col>
      <xdr:colOff>414867</xdr:colOff>
      <xdr:row>36</xdr:row>
      <xdr:rowOff>181593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8</xdr:row>
      <xdr:rowOff>0</xdr:rowOff>
    </xdr:from>
    <xdr:to>
      <xdr:col>23</xdr:col>
      <xdr:colOff>414867</xdr:colOff>
      <xdr:row>21</xdr:row>
      <xdr:rowOff>181593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828652</xdr:colOff>
      <xdr:row>23</xdr:row>
      <xdr:rowOff>0</xdr:rowOff>
    </xdr:from>
    <xdr:to>
      <xdr:col>23</xdr:col>
      <xdr:colOff>414867</xdr:colOff>
      <xdr:row>36</xdr:row>
      <xdr:rowOff>181594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8</xdr:row>
      <xdr:rowOff>0</xdr:rowOff>
    </xdr:from>
    <xdr:to>
      <xdr:col>29</xdr:col>
      <xdr:colOff>414867</xdr:colOff>
      <xdr:row>21</xdr:row>
      <xdr:rowOff>181593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0</xdr:colOff>
      <xdr:row>23</xdr:row>
      <xdr:rowOff>0</xdr:rowOff>
    </xdr:from>
    <xdr:to>
      <xdr:col>29</xdr:col>
      <xdr:colOff>414867</xdr:colOff>
      <xdr:row>36</xdr:row>
      <xdr:rowOff>181592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30</xdr:col>
      <xdr:colOff>0</xdr:colOff>
      <xdr:row>8</xdr:row>
      <xdr:rowOff>0</xdr:rowOff>
    </xdr:from>
    <xdr:to>
      <xdr:col>35</xdr:col>
      <xdr:colOff>414867</xdr:colOff>
      <xdr:row>21</xdr:row>
      <xdr:rowOff>181592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30</xdr:col>
      <xdr:colOff>0</xdr:colOff>
      <xdr:row>23</xdr:row>
      <xdr:rowOff>0</xdr:rowOff>
    </xdr:from>
    <xdr:to>
      <xdr:col>35</xdr:col>
      <xdr:colOff>414867</xdr:colOff>
      <xdr:row>36</xdr:row>
      <xdr:rowOff>181592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76474</xdr:colOff>
      <xdr:row>1</xdr:row>
      <xdr:rowOff>160744</xdr:rowOff>
    </xdr:from>
    <xdr:to>
      <xdr:col>24</xdr:col>
      <xdr:colOff>706888</xdr:colOff>
      <xdr:row>5</xdr:row>
      <xdr:rowOff>587075</xdr:rowOff>
    </xdr:to>
    <xdr:graphicFrame macro="">
      <xdr:nvGraphicFramePr>
        <xdr:cNvPr id="38" name="Диаграмма 2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12396</xdr:colOff>
      <xdr:row>13</xdr:row>
      <xdr:rowOff>92937</xdr:rowOff>
    </xdr:from>
    <xdr:to>
      <xdr:col>22</xdr:col>
      <xdr:colOff>1120588</xdr:colOff>
      <xdr:row>19</xdr:row>
      <xdr:rowOff>373530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478469</xdr:colOff>
      <xdr:row>23</xdr:row>
      <xdr:rowOff>83634</xdr:rowOff>
    </xdr:from>
    <xdr:to>
      <xdr:col>18</xdr:col>
      <xdr:colOff>770753</xdr:colOff>
      <xdr:row>32</xdr:row>
      <xdr:rowOff>145855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1599212</xdr:colOff>
      <xdr:row>37</xdr:row>
      <xdr:rowOff>111648</xdr:rowOff>
    </xdr:from>
    <xdr:to>
      <xdr:col>35</xdr:col>
      <xdr:colOff>560293</xdr:colOff>
      <xdr:row>48</xdr:row>
      <xdr:rowOff>298823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161075</xdr:colOff>
      <xdr:row>14</xdr:row>
      <xdr:rowOff>231706</xdr:rowOff>
    </xdr:from>
    <xdr:to>
      <xdr:col>36</xdr:col>
      <xdr:colOff>639194</xdr:colOff>
      <xdr:row>20</xdr:row>
      <xdr:rowOff>239925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182533</xdr:colOff>
      <xdr:row>22</xdr:row>
      <xdr:rowOff>57078</xdr:rowOff>
    </xdr:from>
    <xdr:to>
      <xdr:col>36</xdr:col>
      <xdr:colOff>643467</xdr:colOff>
      <xdr:row>26</xdr:row>
      <xdr:rowOff>211201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83634</xdr:colOff>
      <xdr:row>30</xdr:row>
      <xdr:rowOff>156421</xdr:rowOff>
    </xdr:from>
    <xdr:to>
      <xdr:col>35</xdr:col>
      <xdr:colOff>797063</xdr:colOff>
      <xdr:row>36</xdr:row>
      <xdr:rowOff>98117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49495</xdr:colOff>
      <xdr:row>17</xdr:row>
      <xdr:rowOff>334434</xdr:rowOff>
    </xdr:from>
    <xdr:to>
      <xdr:col>43</xdr:col>
      <xdr:colOff>232835</xdr:colOff>
      <xdr:row>23</xdr:row>
      <xdr:rowOff>380763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40</xdr:col>
      <xdr:colOff>5953</xdr:colOff>
      <xdr:row>29</xdr:row>
      <xdr:rowOff>384721</xdr:rowOff>
    </xdr:from>
    <xdr:to>
      <xdr:col>42</xdr:col>
      <xdr:colOff>379975</xdr:colOff>
      <xdr:row>37</xdr:row>
      <xdr:rowOff>70802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40</xdr:col>
      <xdr:colOff>50801</xdr:colOff>
      <xdr:row>23</xdr:row>
      <xdr:rowOff>491066</xdr:rowOff>
    </xdr:from>
    <xdr:to>
      <xdr:col>42</xdr:col>
      <xdr:colOff>372534</xdr:colOff>
      <xdr:row>29</xdr:row>
      <xdr:rowOff>186266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978123</xdr:colOff>
      <xdr:row>2</xdr:row>
      <xdr:rowOff>366294</xdr:rowOff>
    </xdr:from>
    <xdr:to>
      <xdr:col>57</xdr:col>
      <xdr:colOff>2229</xdr:colOff>
      <xdr:row>6</xdr:row>
      <xdr:rowOff>66842</xdr:rowOff>
    </xdr:to>
    <xdr:graphicFrame macro="">
      <xdr:nvGraphicFramePr>
        <xdr:cNvPr id="30" name="Диаграмма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72259</xdr:colOff>
      <xdr:row>42</xdr:row>
      <xdr:rowOff>160688</xdr:rowOff>
    </xdr:from>
    <xdr:to>
      <xdr:col>22</xdr:col>
      <xdr:colOff>736567</xdr:colOff>
      <xdr:row>53</xdr:row>
      <xdr:rowOff>121825</xdr:rowOff>
    </xdr:to>
    <xdr:graphicFrame macro="">
      <xdr:nvGraphicFramePr>
        <xdr:cNvPr id="32" name="Диаграмма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26</xdr:col>
      <xdr:colOff>218326</xdr:colOff>
      <xdr:row>19</xdr:row>
      <xdr:rowOff>219468</xdr:rowOff>
    </xdr:from>
    <xdr:to>
      <xdr:col>28</xdr:col>
      <xdr:colOff>566506</xdr:colOff>
      <xdr:row>25</xdr:row>
      <xdr:rowOff>251432</xdr:rowOff>
    </xdr:to>
    <xdr:graphicFrame macro="">
      <xdr:nvGraphicFramePr>
        <xdr:cNvPr id="33" name="Диаграмма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33</xdr:col>
      <xdr:colOff>346753</xdr:colOff>
      <xdr:row>53</xdr:row>
      <xdr:rowOff>276547</xdr:rowOff>
    </xdr:from>
    <xdr:to>
      <xdr:col>36</xdr:col>
      <xdr:colOff>181225</xdr:colOff>
      <xdr:row>63</xdr:row>
      <xdr:rowOff>108735</xdr:rowOff>
    </xdr:to>
    <xdr:graphicFrame macro="">
      <xdr:nvGraphicFramePr>
        <xdr:cNvPr id="34" name="Диаграмма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590550</xdr:colOff>
      <xdr:row>0</xdr:row>
      <xdr:rowOff>85725</xdr:rowOff>
    </xdr:from>
    <xdr:to>
      <xdr:col>30</xdr:col>
      <xdr:colOff>495300</xdr:colOff>
      <xdr:row>19</xdr:row>
      <xdr:rowOff>152400</xdr:rowOff>
    </xdr:to>
    <xdr:graphicFrame macro="">
      <xdr:nvGraphicFramePr>
        <xdr:cNvPr id="19" name="Диаграмма 2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666750</xdr:colOff>
      <xdr:row>14</xdr:row>
      <xdr:rowOff>9525</xdr:rowOff>
    </xdr:from>
    <xdr:to>
      <xdr:col>10</xdr:col>
      <xdr:colOff>247650</xdr:colOff>
      <xdr:row>34</xdr:row>
      <xdr:rowOff>47625</xdr:rowOff>
    </xdr:to>
    <xdr:graphicFrame macro="">
      <xdr:nvGraphicFramePr>
        <xdr:cNvPr id="5" name="Диаграмма 12">
          <a:extLst>
            <a:ext uri="{FF2B5EF4-FFF2-40B4-BE49-F238E27FC236}">
              <a16:creationId xmlns:a16="http://schemas.microsoft.com/office/drawing/2014/main" id="{00000000-0008-0000-0300-000003000000}"/>
            </a:ext>
            <a:ext uri="{147F2762-F138-4A5C-976F-8EAC2B608ADB}">
              <a16:predDERef xmlns:a16="http://schemas.microsoft.com/office/drawing/2014/main" pre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28575</xdr:colOff>
      <xdr:row>30</xdr:row>
      <xdr:rowOff>95250</xdr:rowOff>
    </xdr:from>
    <xdr:to>
      <xdr:col>27</xdr:col>
      <xdr:colOff>9525</xdr:colOff>
      <xdr:row>45</xdr:row>
      <xdr:rowOff>57150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300-00000E000000}"/>
            </a:ext>
            <a:ext uri="{147F2762-F138-4A5C-976F-8EAC2B608ADB}">
              <a16:predDERef xmlns:a16="http://schemas.microsoft.com/office/drawing/2014/main" pred="{B74DD1DB-32A8-0F41-8217-7956BCF2D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609600</xdr:colOff>
      <xdr:row>32</xdr:row>
      <xdr:rowOff>104775</xdr:rowOff>
    </xdr:from>
    <xdr:to>
      <xdr:col>33</xdr:col>
      <xdr:colOff>409575</xdr:colOff>
      <xdr:row>46</xdr:row>
      <xdr:rowOff>152400</xdr:rowOff>
    </xdr:to>
    <xdr:graphicFrame macro="">
      <xdr:nvGraphicFramePr>
        <xdr:cNvPr id="13" name="Диаграмма 14">
          <a:extLst>
            <a:ext uri="{FF2B5EF4-FFF2-40B4-BE49-F238E27FC236}">
              <a16:creationId xmlns:a16="http://schemas.microsoft.com/office/drawing/2014/main" id="{00000000-0008-0000-0300-00000D000000}"/>
            </a:ext>
            <a:ext uri="{147F2762-F138-4A5C-976F-8EAC2B608ADB}">
              <a16:predDERef xmlns:a16="http://schemas.microsoft.com/office/drawing/2014/main" pred="{3ECB99C1-2645-4A88-A9F0-0FE55D264C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723900</xdr:colOff>
      <xdr:row>47</xdr:row>
      <xdr:rowOff>114300</xdr:rowOff>
    </xdr:from>
    <xdr:to>
      <xdr:col>26</xdr:col>
      <xdr:colOff>123825</xdr:colOff>
      <xdr:row>59</xdr:row>
      <xdr:rowOff>0</xdr:rowOff>
    </xdr:to>
    <xdr:graphicFrame macro="">
      <xdr:nvGraphicFramePr>
        <xdr:cNvPr id="9" name="Диаграмма 15">
          <a:extLst>
            <a:ext uri="{FF2B5EF4-FFF2-40B4-BE49-F238E27FC236}">
              <a16:creationId xmlns:a16="http://schemas.microsoft.com/office/drawing/2014/main" id="{00000000-0008-0000-0300-000009000000}"/>
            </a:ext>
            <a:ext uri="{147F2762-F138-4A5C-976F-8EAC2B608ADB}">
              <a16:predDERef xmlns:a16="http://schemas.microsoft.com/office/drawing/2014/main" pred="{FA7CFBF1-AE7F-463E-9A74-2A0BC57C8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438150</xdr:colOff>
      <xdr:row>51</xdr:row>
      <xdr:rowOff>76200</xdr:rowOff>
    </xdr:from>
    <xdr:to>
      <xdr:col>33</xdr:col>
      <xdr:colOff>428625</xdr:colOff>
      <xdr:row>61</xdr:row>
      <xdr:rowOff>180975</xdr:rowOff>
    </xdr:to>
    <xdr:graphicFrame macro="">
      <xdr:nvGraphicFramePr>
        <xdr:cNvPr id="6" name="Диаграмма 16">
          <a:extLst>
            <a:ext uri="{FF2B5EF4-FFF2-40B4-BE49-F238E27FC236}">
              <a16:creationId xmlns:a16="http://schemas.microsoft.com/office/drawing/2014/main" id="{00000000-0008-0000-0300-000006000000}"/>
            </a:ext>
            <a:ext uri="{147F2762-F138-4A5C-976F-8EAC2B608ADB}">
              <a16:predDERef xmlns:a16="http://schemas.microsoft.com/office/drawing/2014/main" pred="{221B3F9D-BD60-4C9D-970D-66FBD8BDF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419100</xdr:colOff>
      <xdr:row>38</xdr:row>
      <xdr:rowOff>76200</xdr:rowOff>
    </xdr:from>
    <xdr:to>
      <xdr:col>4</xdr:col>
      <xdr:colOff>628650</xdr:colOff>
      <xdr:row>58</xdr:row>
      <xdr:rowOff>9525</xdr:rowOff>
    </xdr:to>
    <xdr:graphicFrame macro="">
      <xdr:nvGraphicFramePr>
        <xdr:cNvPr id="7" name="Диаграмма 3">
          <a:extLst>
            <a:ext uri="{FF2B5EF4-FFF2-40B4-BE49-F238E27FC236}">
              <a16:creationId xmlns:a16="http://schemas.microsoft.com/office/drawing/2014/main" id="{00000000-0008-0000-0300-000007000000}"/>
            </a:ext>
            <a:ext uri="{147F2762-F138-4A5C-976F-8EAC2B608ADB}">
              <a16:predDERef xmlns:a16="http://schemas.microsoft.com/office/drawing/2014/main" pred="{46E23421-6319-4828-AFF9-774CA45C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400050</xdr:colOff>
      <xdr:row>59</xdr:row>
      <xdr:rowOff>171450</xdr:rowOff>
    </xdr:from>
    <xdr:to>
      <xdr:col>4</xdr:col>
      <xdr:colOff>590550</xdr:colOff>
      <xdr:row>76</xdr:row>
      <xdr:rowOff>123825</xdr:rowOff>
    </xdr:to>
    <xdr:graphicFrame macro="">
      <xdr:nvGraphicFramePr>
        <xdr:cNvPr id="8" name="Диаграмма 58">
          <a:extLst>
            <a:ext uri="{FF2B5EF4-FFF2-40B4-BE49-F238E27FC236}">
              <a16:creationId xmlns:a16="http://schemas.microsoft.com/office/drawing/2014/main" id="{00000000-0008-0000-0300-000008000000}"/>
            </a:ext>
            <a:ext uri="{147F2762-F138-4A5C-976F-8EAC2B608ADB}">
              <a16:predDERef xmlns:a16="http://schemas.microsoft.com/office/drawing/2014/main" pred="{51A056E0-E895-4325-9E2C-EBD86251D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847725</xdr:colOff>
      <xdr:row>60</xdr:row>
      <xdr:rowOff>142875</xdr:rowOff>
    </xdr:from>
    <xdr:to>
      <xdr:col>17</xdr:col>
      <xdr:colOff>752475</xdr:colOff>
      <xdr:row>70</xdr:row>
      <xdr:rowOff>685800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300-00000A000000}"/>
            </a:ext>
            <a:ext uri="{147F2762-F138-4A5C-976F-8EAC2B608ADB}">
              <a16:predDERef xmlns:a16="http://schemas.microsoft.com/office/drawing/2014/main" pred="{5E896994-B36B-4CCC-A238-398FB4985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323850</xdr:colOff>
      <xdr:row>60</xdr:row>
      <xdr:rowOff>142875</xdr:rowOff>
    </xdr:from>
    <xdr:to>
      <xdr:col>24</xdr:col>
      <xdr:colOff>523875</xdr:colOff>
      <xdr:row>70</xdr:row>
      <xdr:rowOff>685800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300-00000B000000}"/>
            </a:ext>
            <a:ext uri="{147F2762-F138-4A5C-976F-8EAC2B608ADB}">
              <a16:predDERef xmlns:a16="http://schemas.microsoft.com/office/drawing/2014/main" pred="{493A5826-E59B-49CF-9B8B-3A2C0DA89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742950</xdr:colOff>
      <xdr:row>73</xdr:row>
      <xdr:rowOff>114300</xdr:rowOff>
    </xdr:from>
    <xdr:to>
      <xdr:col>32</xdr:col>
      <xdr:colOff>19050</xdr:colOff>
      <xdr:row>92</xdr:row>
      <xdr:rowOff>180975</xdr:rowOff>
    </xdr:to>
    <xdr:graphicFrame macro="">
      <xdr:nvGraphicFramePr>
        <xdr:cNvPr id="17" name="Диаграмма 11">
          <a:extLst>
            <a:ext uri="{FF2B5EF4-FFF2-40B4-BE49-F238E27FC236}">
              <a16:creationId xmlns:a16="http://schemas.microsoft.com/office/drawing/2014/main" id="{00000000-0008-0000-0300-000011000000}"/>
            </a:ext>
            <a:ext uri="{147F2762-F138-4A5C-976F-8EAC2B608ADB}">
              <a16:predDERef xmlns:a16="http://schemas.microsoft.com/office/drawing/2014/main" pred="{09D457D9-006F-4B18-A8EB-7C2155135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695325</xdr:colOff>
      <xdr:row>14</xdr:row>
      <xdr:rowOff>38100</xdr:rowOff>
    </xdr:from>
    <xdr:to>
      <xdr:col>15</xdr:col>
      <xdr:colOff>1038225</xdr:colOff>
      <xdr:row>34</xdr:row>
      <xdr:rowOff>76200</xdr:rowOff>
    </xdr:to>
    <xdr:graphicFrame macro="">
      <xdr:nvGraphicFramePr>
        <xdr:cNvPr id="20" name="Диаграмма 1">
          <a:extLst>
            <a:ext uri="{FF2B5EF4-FFF2-40B4-BE49-F238E27FC236}">
              <a16:creationId xmlns:a16="http://schemas.microsoft.com/office/drawing/2014/main" id="{00000000-0008-0000-0300-000014000000}"/>
            </a:ext>
            <a:ext uri="{147F2762-F138-4A5C-976F-8EAC2B608ADB}">
              <a16:predDERef xmlns:a16="http://schemas.microsoft.com/office/drawing/2014/main" pred="{4DF0ACA5-EA03-472D-AA70-8ED00D147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200025</xdr:colOff>
      <xdr:row>35</xdr:row>
      <xdr:rowOff>142875</xdr:rowOff>
    </xdr:from>
    <xdr:to>
      <xdr:col>18</xdr:col>
      <xdr:colOff>885825</xdr:colOff>
      <xdr:row>53</xdr:row>
      <xdr:rowOff>428625</xdr:rowOff>
    </xdr:to>
    <xdr:graphicFrame macro="">
      <xdr:nvGraphicFramePr>
        <xdr:cNvPr id="26" name="Диаграмма 15">
          <a:extLst>
            <a:ext uri="{FF2B5EF4-FFF2-40B4-BE49-F238E27FC236}">
              <a16:creationId xmlns:a16="http://schemas.microsoft.com/office/drawing/2014/main" id="{00000000-0008-0000-0300-00001A000000}"/>
            </a:ext>
            <a:ext uri="{147F2762-F138-4A5C-976F-8EAC2B608ADB}">
              <a16:predDERef xmlns:a16="http://schemas.microsoft.com/office/drawing/2014/main" pred="{E9018914-EF14-47D4-AF61-A8C0B197F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15</xdr:col>
      <xdr:colOff>409575</xdr:colOff>
      <xdr:row>94</xdr:row>
      <xdr:rowOff>123825</xdr:rowOff>
    </xdr:from>
    <xdr:to>
      <xdr:col>19</xdr:col>
      <xdr:colOff>828675</xdr:colOff>
      <xdr:row>109</xdr:row>
      <xdr:rowOff>123825</xdr:rowOff>
    </xdr:to>
    <xdr:pic>
      <xdr:nvPicPr>
        <xdr:cNvPr id="33" name="Рисунок 20">
          <a:extLst>
            <a:ext uri="{FF2B5EF4-FFF2-40B4-BE49-F238E27FC236}">
              <a16:creationId xmlns:a16="http://schemas.microsoft.com/office/drawing/2014/main" id="{00000000-0008-0000-0300-000021000000}"/>
            </a:ext>
            <a:ext uri="{147F2762-F138-4A5C-976F-8EAC2B608ADB}">
              <a16:predDERef xmlns:a16="http://schemas.microsoft.com/office/drawing/2014/main" pred="{EA9EA564-E6D1-498C-8D71-EEEF4AF43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935825" y="22288500"/>
          <a:ext cx="4572000" cy="30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809625</xdr:colOff>
      <xdr:row>1</xdr:row>
      <xdr:rowOff>171450</xdr:rowOff>
    </xdr:from>
    <xdr:to>
      <xdr:col>21</xdr:col>
      <xdr:colOff>352425</xdr:colOff>
      <xdr:row>15</xdr:row>
      <xdr:rowOff>114300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819150</xdr:colOff>
      <xdr:row>16</xdr:row>
      <xdr:rowOff>152400</xdr:rowOff>
    </xdr:from>
    <xdr:to>
      <xdr:col>21</xdr:col>
      <xdr:colOff>409575</xdr:colOff>
      <xdr:row>30</xdr:row>
      <xdr:rowOff>95250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500-000004000000}"/>
            </a:ext>
            <a:ext uri="{147F2762-F138-4A5C-976F-8EAC2B608ADB}">
              <a16:predDERef xmlns:a16="http://schemas.microsoft.com/office/drawing/2014/main" pred="{E1E3E556-B008-248F-3C2C-1F23DFC8A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31</xdr:row>
      <xdr:rowOff>38100</xdr:rowOff>
    </xdr:from>
    <xdr:to>
      <xdr:col>21</xdr:col>
      <xdr:colOff>381000</xdr:colOff>
      <xdr:row>40</xdr:row>
      <xdr:rowOff>180975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500-000005000000}"/>
            </a:ext>
            <a:ext uri="{147F2762-F138-4A5C-976F-8EAC2B608ADB}">
              <a16:predDERef xmlns:a16="http://schemas.microsoft.com/office/drawing/2014/main" pred="{4EE1E1F4-5C3D-9104-EABC-9508EE721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828675</xdr:colOff>
      <xdr:row>1</xdr:row>
      <xdr:rowOff>190500</xdr:rowOff>
    </xdr:from>
    <xdr:to>
      <xdr:col>27</xdr:col>
      <xdr:colOff>371475</xdr:colOff>
      <xdr:row>15</xdr:row>
      <xdr:rowOff>133350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500-000006000000}"/>
            </a:ext>
            <a:ext uri="{147F2762-F138-4A5C-976F-8EAC2B608ADB}">
              <a16:predDERef xmlns:a16="http://schemas.microsoft.com/office/drawing/2014/main" pred="{C60D089F-1ED8-1555-3600-22B8AEABA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0</xdr:colOff>
      <xdr:row>16</xdr:row>
      <xdr:rowOff>123825</xdr:rowOff>
    </xdr:from>
    <xdr:to>
      <xdr:col>27</xdr:col>
      <xdr:colOff>381000</xdr:colOff>
      <xdr:row>30</xdr:row>
      <xdr:rowOff>66675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500-000007000000}"/>
            </a:ext>
            <a:ext uri="{147F2762-F138-4A5C-976F-8EAC2B608ADB}">
              <a16:predDERef xmlns:a16="http://schemas.microsoft.com/office/drawing/2014/main" pred="{38A35A7C-CCA0-81F9-CAB8-49A02FDA9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0</xdr:colOff>
      <xdr:row>31</xdr:row>
      <xdr:rowOff>9525</xdr:rowOff>
    </xdr:from>
    <xdr:to>
      <xdr:col>27</xdr:col>
      <xdr:colOff>381000</xdr:colOff>
      <xdr:row>40</xdr:row>
      <xdr:rowOff>152400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500-000008000000}"/>
            </a:ext>
            <a:ext uri="{147F2762-F138-4A5C-976F-8EAC2B608ADB}">
              <a16:predDERef xmlns:a16="http://schemas.microsoft.com/office/drawing/2014/main" pred="{A31A0C81-9B3C-D715-6AE8-46A5CD7AE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</xdr:row>
      <xdr:rowOff>0</xdr:rowOff>
    </xdr:from>
    <xdr:to>
      <xdr:col>22</xdr:col>
      <xdr:colOff>552827</xdr:colOff>
      <xdr:row>14</xdr:row>
      <xdr:rowOff>109192</xdr:rowOff>
    </xdr:to>
    <xdr:graphicFrame macro="">
      <xdr:nvGraphicFramePr>
        <xdr:cNvPr id="26" name="Диаграмма 15">
          <a:extLst>
            <a:ext uri="{FF2B5EF4-FFF2-40B4-BE49-F238E27FC236}">
              <a16:creationId xmlns:a16="http://schemas.microsoft.com/office/drawing/2014/main" id="{6D6388C6-3301-6342-8654-9B31BB03D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3</xdr:row>
      <xdr:rowOff>0</xdr:rowOff>
    </xdr:from>
    <xdr:to>
      <xdr:col>29</xdr:col>
      <xdr:colOff>655697</xdr:colOff>
      <xdr:row>17</xdr:row>
      <xdr:rowOff>45476</xdr:rowOff>
    </xdr:to>
    <xdr:graphicFrame macro="">
      <xdr:nvGraphicFramePr>
        <xdr:cNvPr id="27" name="Диаграмма 16">
          <a:extLst>
            <a:ext uri="{FF2B5EF4-FFF2-40B4-BE49-F238E27FC236}">
              <a16:creationId xmlns:a16="http://schemas.microsoft.com/office/drawing/2014/main" id="{122E29DB-5BE1-7540-93E3-82CD3FB74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25</xdr:row>
      <xdr:rowOff>0</xdr:rowOff>
    </xdr:from>
    <xdr:to>
      <xdr:col>13</xdr:col>
      <xdr:colOff>160911</xdr:colOff>
      <xdr:row>39</xdr:row>
      <xdr:rowOff>196385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362857</xdr:colOff>
      <xdr:row>25</xdr:row>
      <xdr:rowOff>27911</xdr:rowOff>
    </xdr:from>
    <xdr:to>
      <xdr:col>19</xdr:col>
      <xdr:colOff>3931</xdr:colOff>
      <xdr:row>38</xdr:row>
      <xdr:rowOff>30847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153517</xdr:colOff>
      <xdr:row>25</xdr:row>
      <xdr:rowOff>27912</xdr:rowOff>
    </xdr:from>
    <xdr:to>
      <xdr:col>24</xdr:col>
      <xdr:colOff>572390</xdr:colOff>
      <xdr:row>34</xdr:row>
      <xdr:rowOff>206594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0</xdr:colOff>
      <xdr:row>25</xdr:row>
      <xdr:rowOff>0</xdr:rowOff>
    </xdr:from>
    <xdr:to>
      <xdr:col>30</xdr:col>
      <xdr:colOff>330448</xdr:colOff>
      <xdr:row>38</xdr:row>
      <xdr:rowOff>183547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0</xdr:colOff>
      <xdr:row>25</xdr:row>
      <xdr:rowOff>0</xdr:rowOff>
    </xdr:from>
    <xdr:to>
      <xdr:col>37</xdr:col>
      <xdr:colOff>262079</xdr:colOff>
      <xdr:row>38</xdr:row>
      <xdr:rowOff>207791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37</xdr:col>
      <xdr:colOff>516374</xdr:colOff>
      <xdr:row>25</xdr:row>
      <xdr:rowOff>0</xdr:rowOff>
    </xdr:from>
    <xdr:to>
      <xdr:col>43</xdr:col>
      <xdr:colOff>761268</xdr:colOff>
      <xdr:row>37</xdr:row>
      <xdr:rowOff>42333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44</xdr:col>
      <xdr:colOff>279121</xdr:colOff>
      <xdr:row>25</xdr:row>
      <xdr:rowOff>27912</xdr:rowOff>
    </xdr:from>
    <xdr:to>
      <xdr:col>49</xdr:col>
      <xdr:colOff>720960</xdr:colOff>
      <xdr:row>38</xdr:row>
      <xdr:rowOff>34272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0</xdr:colOff>
      <xdr:row>25</xdr:row>
      <xdr:rowOff>0</xdr:rowOff>
    </xdr:from>
    <xdr:to>
      <xdr:col>56</xdr:col>
      <xdr:colOff>322901</xdr:colOff>
      <xdr:row>37</xdr:row>
      <xdr:rowOff>201241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57</xdr:col>
      <xdr:colOff>0</xdr:colOff>
      <xdr:row>25</xdr:row>
      <xdr:rowOff>0</xdr:rowOff>
    </xdr:from>
    <xdr:to>
      <xdr:col>62</xdr:col>
      <xdr:colOff>498789</xdr:colOff>
      <xdr:row>38</xdr:row>
      <xdr:rowOff>139653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63</xdr:col>
      <xdr:colOff>0</xdr:colOff>
      <xdr:row>25</xdr:row>
      <xdr:rowOff>0</xdr:rowOff>
    </xdr:from>
    <xdr:to>
      <xdr:col>68</xdr:col>
      <xdr:colOff>484275</xdr:colOff>
      <xdr:row>38</xdr:row>
      <xdr:rowOff>109909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6</xdr:col>
      <xdr:colOff>104752</xdr:colOff>
      <xdr:row>41</xdr:row>
      <xdr:rowOff>61483</xdr:rowOff>
    </xdr:to>
    <xdr:graphicFrame macro="">
      <xdr:nvGraphicFramePr>
        <xdr:cNvPr id="28" name="Диаграмма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48</xdr:row>
      <xdr:rowOff>47625</xdr:rowOff>
    </xdr:from>
    <xdr:to>
      <xdr:col>6</xdr:col>
      <xdr:colOff>76200</xdr:colOff>
      <xdr:row>63</xdr:row>
      <xdr:rowOff>161925</xdr:rowOff>
    </xdr:to>
    <xdr:graphicFrame macro="">
      <xdr:nvGraphicFramePr>
        <xdr:cNvPr id="92" name="Диаграмма 12">
          <a:extLst>
            <a:ext uri="{FF2B5EF4-FFF2-40B4-BE49-F238E27FC236}">
              <a16:creationId xmlns:a16="http://schemas.microsoft.com/office/drawing/2014/main" id="{00000000-0008-0000-0600-00000D000000}"/>
            </a:ext>
            <a:ext uri="{147F2762-F138-4A5C-976F-8EAC2B608ADB}">
              <a16:predDERef xmlns:a16="http://schemas.microsoft.com/office/drawing/2014/main" pre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</xdr:colOff>
      <xdr:row>2</xdr:row>
      <xdr:rowOff>1</xdr:rowOff>
    </xdr:from>
    <xdr:to>
      <xdr:col>7</xdr:col>
      <xdr:colOff>125606</xdr:colOff>
      <xdr:row>16</xdr:row>
      <xdr:rowOff>139561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16</xdr:col>
      <xdr:colOff>238069</xdr:colOff>
      <xdr:row>15</xdr:row>
      <xdr:rowOff>198936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17</xdr:col>
      <xdr:colOff>0</xdr:colOff>
      <xdr:row>2</xdr:row>
      <xdr:rowOff>0</xdr:rowOff>
    </xdr:from>
    <xdr:to>
      <xdr:col>22</xdr:col>
      <xdr:colOff>552827</xdr:colOff>
      <xdr:row>14</xdr:row>
      <xdr:rowOff>109192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24</xdr:col>
      <xdr:colOff>0</xdr:colOff>
      <xdr:row>3</xdr:row>
      <xdr:rowOff>0</xdr:rowOff>
    </xdr:from>
    <xdr:to>
      <xdr:col>29</xdr:col>
      <xdr:colOff>655697</xdr:colOff>
      <xdr:row>17</xdr:row>
      <xdr:rowOff>45476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26</xdr:col>
      <xdr:colOff>733425</xdr:colOff>
      <xdr:row>46</xdr:row>
      <xdr:rowOff>190500</xdr:rowOff>
    </xdr:from>
    <xdr:to>
      <xdr:col>34</xdr:col>
      <xdr:colOff>809625</xdr:colOff>
      <xdr:row>66</xdr:row>
      <xdr:rowOff>123825</xdr:rowOff>
    </xdr:to>
    <xdr:graphicFrame macro="">
      <xdr:nvGraphicFramePr>
        <xdr:cNvPr id="121" name="Диаграмма 20">
          <a:extLst>
            <a:ext uri="{FF2B5EF4-FFF2-40B4-BE49-F238E27FC236}">
              <a16:creationId xmlns:a16="http://schemas.microsoft.com/office/drawing/2014/main" id="{04AEC844-679E-469D-B63E-1CBC6F06E11F}"/>
            </a:ext>
            <a:ext uri="{147F2762-F138-4A5C-976F-8EAC2B608ADB}">
              <a16:predDERef xmlns:a16="http://schemas.microsoft.com/office/drawing/2014/main" pred="{00000000-0008-0000-06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35</xdr:col>
      <xdr:colOff>485775</xdr:colOff>
      <xdr:row>46</xdr:row>
      <xdr:rowOff>104775</xdr:rowOff>
    </xdr:from>
    <xdr:to>
      <xdr:col>43</xdr:col>
      <xdr:colOff>323850</xdr:colOff>
      <xdr:row>67</xdr:row>
      <xdr:rowOff>76200</xdr:rowOff>
    </xdr:to>
    <xdr:graphicFrame macro="">
      <xdr:nvGraphicFramePr>
        <xdr:cNvPr id="123" name="Диаграмма 21">
          <a:extLst>
            <a:ext uri="{FF2B5EF4-FFF2-40B4-BE49-F238E27FC236}">
              <a16:creationId xmlns:a16="http://schemas.microsoft.com/office/drawing/2014/main" id="{7CA1D3D3-8315-4F84-915C-2B8A97ADF9BC}"/>
            </a:ext>
            <a:ext uri="{147F2762-F138-4A5C-976F-8EAC2B608ADB}">
              <a16:predDERef xmlns:a16="http://schemas.microsoft.com/office/drawing/2014/main" pred="{04AEC844-679E-469D-B63E-1CBC6F06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44</xdr:col>
      <xdr:colOff>295275</xdr:colOff>
      <xdr:row>49</xdr:row>
      <xdr:rowOff>66675</xdr:rowOff>
    </xdr:from>
    <xdr:to>
      <xdr:col>51</xdr:col>
      <xdr:colOff>85725</xdr:colOff>
      <xdr:row>63</xdr:row>
      <xdr:rowOff>85725</xdr:rowOff>
    </xdr:to>
    <xdr:graphicFrame macro="">
      <xdr:nvGraphicFramePr>
        <xdr:cNvPr id="62" name="Диаграмма 22">
          <a:extLst>
            <a:ext uri="{FF2B5EF4-FFF2-40B4-BE49-F238E27FC236}">
              <a16:creationId xmlns:a16="http://schemas.microsoft.com/office/drawing/2014/main" id="{0FE01E35-9B39-4063-B79A-D230DF6415EB}"/>
            </a:ext>
            <a:ext uri="{147F2762-F138-4A5C-976F-8EAC2B608ADB}">
              <a16:predDERef xmlns:a16="http://schemas.microsoft.com/office/drawing/2014/main" pred="{7CA1D3D3-8315-4F84-915C-2B8A97ADF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52</xdr:col>
      <xdr:colOff>19050</xdr:colOff>
      <xdr:row>49</xdr:row>
      <xdr:rowOff>19050</xdr:rowOff>
    </xdr:from>
    <xdr:to>
      <xdr:col>58</xdr:col>
      <xdr:colOff>323850</xdr:colOff>
      <xdr:row>63</xdr:row>
      <xdr:rowOff>38100</xdr:rowOff>
    </xdr:to>
    <xdr:graphicFrame macro="">
      <xdr:nvGraphicFramePr>
        <xdr:cNvPr id="65" name="Диаграмма 23">
          <a:extLst>
            <a:ext uri="{FF2B5EF4-FFF2-40B4-BE49-F238E27FC236}">
              <a16:creationId xmlns:a16="http://schemas.microsoft.com/office/drawing/2014/main" id="{12583B44-21E2-475F-B49F-F0FD6C4BE385}"/>
            </a:ext>
            <a:ext uri="{147F2762-F138-4A5C-976F-8EAC2B608ADB}">
              <a16:predDERef xmlns:a16="http://schemas.microsoft.com/office/drawing/2014/main" pred="{0FE01E35-9B39-4063-B79A-D230DF641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59</xdr:col>
      <xdr:colOff>666750</xdr:colOff>
      <xdr:row>46</xdr:row>
      <xdr:rowOff>57150</xdr:rowOff>
    </xdr:from>
    <xdr:to>
      <xdr:col>68</xdr:col>
      <xdr:colOff>476250</xdr:colOff>
      <xdr:row>67</xdr:row>
      <xdr:rowOff>66675</xdr:rowOff>
    </xdr:to>
    <xdr:graphicFrame macro="">
      <xdr:nvGraphicFramePr>
        <xdr:cNvPr id="70" name="Диаграмма 24">
          <a:extLst>
            <a:ext uri="{FF2B5EF4-FFF2-40B4-BE49-F238E27FC236}">
              <a16:creationId xmlns:a16="http://schemas.microsoft.com/office/drawing/2014/main" id="{C0FAAC56-7528-498D-BB8C-1EA45D1BDCD9}"/>
            </a:ext>
            <a:ext uri="{147F2762-F138-4A5C-976F-8EAC2B608ADB}">
              <a16:predDERef xmlns:a16="http://schemas.microsoft.com/office/drawing/2014/main" pred="{12583B44-21E2-475F-B49F-F0FD6C4BE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6</xdr:col>
      <xdr:colOff>457200</xdr:colOff>
      <xdr:row>47</xdr:row>
      <xdr:rowOff>133350</xdr:rowOff>
    </xdr:from>
    <xdr:to>
      <xdr:col>13</xdr:col>
      <xdr:colOff>190500</xdr:colOff>
      <xdr:row>63</xdr:row>
      <xdr:rowOff>120650</xdr:rowOff>
    </xdr:to>
    <xdr:pic>
      <xdr:nvPicPr>
        <xdr:cNvPr id="109" name="Рисунок 18">
          <a:extLst>
            <a:ext uri="{FF2B5EF4-FFF2-40B4-BE49-F238E27FC236}">
              <a16:creationId xmlns:a16="http://schemas.microsoft.com/office/drawing/2014/main" id="{26D6B9C1-214C-DC90-CFA9-F648D4ABB65D}"/>
            </a:ext>
            <a:ext uri="{147F2762-F138-4A5C-976F-8EAC2B608ADB}">
              <a16:predDERef xmlns:a16="http://schemas.microsoft.com/office/drawing/2014/main" pred="{0D7587A7-B31E-E8EF-AF1C-93B1ABB8C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486400" y="9725025"/>
          <a:ext cx="5600700" cy="3238500"/>
        </a:xfrm>
        <a:prstGeom prst="rect">
          <a:avLst/>
        </a:prstGeom>
      </xdr:spPr>
    </xdr:pic>
    <xdr:clientData/>
  </xdr:twoCellAnchor>
  <xdr:twoCellAnchor editAs="oneCell">
    <xdr:from>
      <xdr:col>13</xdr:col>
      <xdr:colOff>647700</xdr:colOff>
      <xdr:row>48</xdr:row>
      <xdr:rowOff>9525</xdr:rowOff>
    </xdr:from>
    <xdr:to>
      <xdr:col>19</xdr:col>
      <xdr:colOff>609600</xdr:colOff>
      <xdr:row>62</xdr:row>
      <xdr:rowOff>79375</xdr:rowOff>
    </xdr:to>
    <xdr:pic>
      <xdr:nvPicPr>
        <xdr:cNvPr id="111" name="Рисунок 19">
          <a:extLst>
            <a:ext uri="{FF2B5EF4-FFF2-40B4-BE49-F238E27FC236}">
              <a16:creationId xmlns:a16="http://schemas.microsoft.com/office/drawing/2014/main" id="{2D03CF8F-BA9C-E81B-4CBB-4ACC8E6B57DA}"/>
            </a:ext>
            <a:ext uri="{147F2762-F138-4A5C-976F-8EAC2B608ADB}">
              <a16:predDERef xmlns:a16="http://schemas.microsoft.com/office/drawing/2014/main" pred="{26D6B9C1-214C-DC90-CFA9-F648D4ABB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544300" y="9801225"/>
          <a:ext cx="4991100" cy="2914650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</xdr:colOff>
      <xdr:row>48</xdr:row>
      <xdr:rowOff>133350</xdr:rowOff>
    </xdr:from>
    <xdr:to>
      <xdr:col>26</xdr:col>
      <xdr:colOff>381000</xdr:colOff>
      <xdr:row>63</xdr:row>
      <xdr:rowOff>104775</xdr:rowOff>
    </xdr:to>
    <xdr:pic>
      <xdr:nvPicPr>
        <xdr:cNvPr id="113" name="Рисунок 20">
          <a:extLst>
            <a:ext uri="{FF2B5EF4-FFF2-40B4-BE49-F238E27FC236}">
              <a16:creationId xmlns:a16="http://schemas.microsoft.com/office/drawing/2014/main" id="{395EB2E1-391B-079B-3229-B7EC08F66CD8}"/>
            </a:ext>
            <a:ext uri="{147F2762-F138-4A5C-976F-8EAC2B608ADB}">
              <a16:predDERef xmlns:a16="http://schemas.microsoft.com/office/drawing/2014/main" pred="{2D03CF8F-BA9C-E81B-4CBB-4ACC8E6B5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783050" y="9925050"/>
          <a:ext cx="5391150" cy="3019425"/>
        </a:xfrm>
        <a:prstGeom prst="rect">
          <a:avLst/>
        </a:prstGeom>
      </xdr:spPr>
    </xdr:pic>
    <xdr:clientData/>
  </xdr:twoCellAnchor>
  <xdr:twoCellAnchor editAs="oneCell">
    <xdr:from>
      <xdr:col>69</xdr:col>
      <xdr:colOff>323850</xdr:colOff>
      <xdr:row>46</xdr:row>
      <xdr:rowOff>171450</xdr:rowOff>
    </xdr:from>
    <xdr:to>
      <xdr:col>76</xdr:col>
      <xdr:colOff>133350</xdr:colOff>
      <xdr:row>65</xdr:row>
      <xdr:rowOff>47625</xdr:rowOff>
    </xdr:to>
    <xdr:pic>
      <xdr:nvPicPr>
        <xdr:cNvPr id="119" name="Рисунок 60">
          <a:extLst>
            <a:ext uri="{FF2B5EF4-FFF2-40B4-BE49-F238E27FC236}">
              <a16:creationId xmlns:a16="http://schemas.microsoft.com/office/drawing/2014/main" id="{C284B989-645C-9408-AA2D-07B4D3DDE136}"/>
            </a:ext>
            <a:ext uri="{147F2762-F138-4A5C-976F-8EAC2B608ADB}">
              <a16:predDERef xmlns:a16="http://schemas.microsoft.com/office/drawing/2014/main" pred="{395EB2E1-391B-079B-3229-B7EC08F66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8159650" y="9496425"/>
          <a:ext cx="5676900" cy="38004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6</xdr:col>
      <xdr:colOff>379095</xdr:colOff>
      <xdr:row>80</xdr:row>
      <xdr:rowOff>200025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C235E06A-9F38-4F02-8ED4-C21F73462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135466</xdr:colOff>
      <xdr:row>68</xdr:row>
      <xdr:rowOff>220134</xdr:rowOff>
    </xdr:from>
    <xdr:to>
      <xdr:col>13</xdr:col>
      <xdr:colOff>151341</xdr:colOff>
      <xdr:row>81</xdr:row>
      <xdr:rowOff>146050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62DA5A9F-12FA-4F2A-A0FA-87952ACAB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5;&#1088;&#1072;&#1092;&#1080;&#1082;&#1080;%20&#1089;&#1102;&#1076;&#107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рафики сюда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70A90-4897-7240-91CD-7A05D136CE8F}">
  <dimension ref="A1:R78"/>
  <sheetViews>
    <sheetView zoomScale="94" workbookViewId="0">
      <selection activeCell="B23" sqref="B23"/>
    </sheetView>
  </sheetViews>
  <sheetFormatPr baseColWidth="10" defaultColWidth="11" defaultRowHeight="16"/>
  <cols>
    <col min="1" max="1" width="105" bestFit="1" customWidth="1"/>
    <col min="2" max="2" width="15.1640625" bestFit="1" customWidth="1"/>
    <col min="9" max="9" width="67" customWidth="1"/>
  </cols>
  <sheetData>
    <row r="1" spans="1:18" ht="51">
      <c r="A1" s="1" t="s">
        <v>0</v>
      </c>
      <c r="I1" s="3" t="s">
        <v>0</v>
      </c>
      <c r="J1" s="5" t="s">
        <v>1</v>
      </c>
      <c r="K1" s="6">
        <v>2023</v>
      </c>
      <c r="L1" s="6">
        <v>2022</v>
      </c>
      <c r="M1" s="11">
        <v>2021</v>
      </c>
      <c r="N1" s="6">
        <v>2020</v>
      </c>
    </row>
    <row r="2" spans="1:18" ht="34">
      <c r="A2" s="1" t="s">
        <v>2</v>
      </c>
      <c r="B2" s="6" t="s">
        <v>3</v>
      </c>
      <c r="C2" s="5" t="s">
        <v>4</v>
      </c>
      <c r="D2" s="5" t="s">
        <v>5</v>
      </c>
      <c r="E2" s="5" t="s">
        <v>6</v>
      </c>
      <c r="F2" s="5" t="s">
        <v>7</v>
      </c>
      <c r="H2" s="5" t="s">
        <v>8</v>
      </c>
      <c r="I2" s="3" t="s">
        <v>9</v>
      </c>
      <c r="J2">
        <v>10316</v>
      </c>
      <c r="K2" s="12">
        <v>12693</v>
      </c>
      <c r="L2" s="12">
        <v>11966</v>
      </c>
      <c r="M2" s="12">
        <v>7413</v>
      </c>
      <c r="N2" s="2">
        <v>7510</v>
      </c>
    </row>
    <row r="3" spans="1:18" ht="17">
      <c r="A3" s="1" t="s">
        <v>10</v>
      </c>
      <c r="B3" s="12">
        <v>15385</v>
      </c>
      <c r="C3" s="12">
        <v>58818</v>
      </c>
      <c r="D3" s="12">
        <v>29682</v>
      </c>
      <c r="E3" s="12">
        <v>14229</v>
      </c>
      <c r="F3" s="12">
        <v>16714</v>
      </c>
      <c r="I3" s="3" t="s">
        <v>11</v>
      </c>
      <c r="J3">
        <v>77</v>
      </c>
      <c r="K3" s="13">
        <v>105</v>
      </c>
      <c r="L3" s="13">
        <v>123</v>
      </c>
      <c r="M3" s="13">
        <v>147</v>
      </c>
      <c r="N3" s="2">
        <v>112</v>
      </c>
    </row>
    <row r="4" spans="1:18" ht="34">
      <c r="A4" s="1" t="s">
        <v>12</v>
      </c>
      <c r="B4" s="13">
        <v>550</v>
      </c>
      <c r="C4" s="13">
        <v>283</v>
      </c>
      <c r="D4" s="13">
        <v>185</v>
      </c>
      <c r="E4" s="13">
        <v>697</v>
      </c>
      <c r="F4" s="13">
        <v>581</v>
      </c>
      <c r="I4" s="3" t="s">
        <v>13</v>
      </c>
      <c r="J4">
        <v>-6082</v>
      </c>
      <c r="K4" s="12">
        <v>-6434</v>
      </c>
      <c r="L4" s="12">
        <v>-6270</v>
      </c>
      <c r="M4" s="12">
        <v>-2969</v>
      </c>
      <c r="N4" s="1">
        <v>-3880</v>
      </c>
    </row>
    <row r="5" spans="1:18" ht="17">
      <c r="A5" s="1" t="s">
        <v>14</v>
      </c>
      <c r="B5" s="13">
        <v>366</v>
      </c>
      <c r="C5" s="13">
        <v>260</v>
      </c>
      <c r="D5" s="13">
        <v>86</v>
      </c>
      <c r="E5" s="13">
        <v>5</v>
      </c>
      <c r="F5" s="13">
        <v>3</v>
      </c>
      <c r="I5" s="3" t="s">
        <v>15</v>
      </c>
      <c r="J5">
        <v>-24</v>
      </c>
      <c r="K5" s="13">
        <v>-50</v>
      </c>
      <c r="L5" s="13">
        <v>-56</v>
      </c>
      <c r="M5" s="4">
        <v>0</v>
      </c>
      <c r="N5" s="1">
        <v>0</v>
      </c>
    </row>
    <row r="6" spans="1:18" ht="17">
      <c r="A6" s="1" t="s">
        <v>16</v>
      </c>
      <c r="B6" s="12">
        <v>105082</v>
      </c>
      <c r="C6" s="12">
        <v>91163</v>
      </c>
      <c r="D6" s="12">
        <v>63158</v>
      </c>
      <c r="E6" s="12">
        <v>61076</v>
      </c>
      <c r="F6" s="12">
        <v>50056</v>
      </c>
      <c r="I6" s="10" t="s">
        <v>17</v>
      </c>
      <c r="J6">
        <v>4287</v>
      </c>
      <c r="K6" s="12">
        <v>6314</v>
      </c>
      <c r="L6" s="12">
        <v>5763</v>
      </c>
      <c r="M6" s="12">
        <v>4591</v>
      </c>
      <c r="N6" s="1">
        <v>3742</v>
      </c>
    </row>
    <row r="7" spans="1:18" ht="17">
      <c r="A7" s="1" t="s">
        <v>18</v>
      </c>
      <c r="B7" s="4"/>
      <c r="C7" s="4"/>
      <c r="D7" s="4"/>
      <c r="E7" s="4"/>
      <c r="F7" s="4"/>
      <c r="I7" s="3" t="s">
        <v>19</v>
      </c>
      <c r="J7">
        <v>-313</v>
      </c>
      <c r="K7" s="13">
        <v>-810</v>
      </c>
      <c r="L7" s="12">
        <v>-1054</v>
      </c>
      <c r="M7" s="13">
        <v>-190</v>
      </c>
      <c r="N7" s="1">
        <v>-872</v>
      </c>
      <c r="R7" s="1"/>
    </row>
    <row r="8" spans="1:18" ht="34">
      <c r="A8" s="1" t="s">
        <v>20</v>
      </c>
      <c r="B8" s="12">
        <v>9894</v>
      </c>
      <c r="C8" s="12">
        <v>15653</v>
      </c>
      <c r="D8" s="12">
        <v>14766</v>
      </c>
      <c r="E8" s="12">
        <v>18451</v>
      </c>
      <c r="F8" s="12">
        <v>11248</v>
      </c>
      <c r="I8" s="10" t="s">
        <v>21</v>
      </c>
      <c r="J8">
        <v>3974</v>
      </c>
      <c r="K8" s="12">
        <v>5504</v>
      </c>
      <c r="L8" s="12">
        <v>4709</v>
      </c>
      <c r="M8" s="13">
        <v>4401</v>
      </c>
      <c r="N8" s="1">
        <v>2870</v>
      </c>
      <c r="R8" s="1"/>
    </row>
    <row r="9" spans="1:18" ht="17">
      <c r="A9" s="1" t="s">
        <v>22</v>
      </c>
      <c r="B9" s="12">
        <v>4934</v>
      </c>
      <c r="C9" s="13">
        <v>551</v>
      </c>
      <c r="D9" s="12">
        <v>2108</v>
      </c>
      <c r="E9" s="4">
        <v>0</v>
      </c>
      <c r="F9" s="4">
        <v>0</v>
      </c>
      <c r="I9" s="3" t="s">
        <v>23</v>
      </c>
      <c r="J9">
        <v>641</v>
      </c>
      <c r="K9" s="13">
        <v>981</v>
      </c>
      <c r="L9" s="13">
        <v>715</v>
      </c>
      <c r="M9" s="13">
        <v>512</v>
      </c>
      <c r="N9" s="2">
        <v>395</v>
      </c>
      <c r="R9" s="1"/>
    </row>
    <row r="10" spans="1:18" ht="17">
      <c r="A10" s="1" t="s">
        <v>24</v>
      </c>
      <c r="B10" s="4"/>
      <c r="C10" s="4"/>
      <c r="D10" s="4"/>
      <c r="E10" s="13"/>
      <c r="F10" s="4"/>
      <c r="I10" s="3" t="s">
        <v>25</v>
      </c>
      <c r="J10">
        <v>-124</v>
      </c>
      <c r="K10" s="13">
        <v>-193</v>
      </c>
      <c r="L10" s="13">
        <v>-190</v>
      </c>
      <c r="M10" s="13">
        <v>-237</v>
      </c>
      <c r="N10" s="1">
        <v>-201</v>
      </c>
      <c r="R10" s="1"/>
    </row>
    <row r="11" spans="1:18" ht="34">
      <c r="A11" s="1" t="s">
        <v>20</v>
      </c>
      <c r="B11" s="13">
        <v>149</v>
      </c>
      <c r="C11" s="13">
        <v>695</v>
      </c>
      <c r="D11" s="12">
        <v>1634</v>
      </c>
      <c r="E11" s="4">
        <v>0</v>
      </c>
      <c r="F11" s="12">
        <v>3972</v>
      </c>
      <c r="I11" s="3" t="s">
        <v>26</v>
      </c>
      <c r="J11" t="s">
        <v>27</v>
      </c>
      <c r="K11" t="s">
        <v>27</v>
      </c>
      <c r="L11" t="s">
        <v>27</v>
      </c>
      <c r="M11" t="s">
        <v>27</v>
      </c>
      <c r="N11" s="1">
        <v>191</v>
      </c>
      <c r="R11" s="1"/>
    </row>
    <row r="12" spans="1:18" ht="51">
      <c r="A12" s="1" t="s">
        <v>22</v>
      </c>
      <c r="B12" s="12">
        <v>1491</v>
      </c>
      <c r="C12" s="13">
        <v>943</v>
      </c>
      <c r="D12" s="4">
        <v>0</v>
      </c>
      <c r="E12" s="4">
        <v>0</v>
      </c>
      <c r="F12" s="13">
        <v>63</v>
      </c>
      <c r="I12" s="3" t="s">
        <v>28</v>
      </c>
      <c r="J12" t="s">
        <v>27</v>
      </c>
      <c r="K12" t="s">
        <v>27</v>
      </c>
      <c r="L12" t="s">
        <v>27</v>
      </c>
      <c r="M12" t="s">
        <v>27</v>
      </c>
      <c r="N12" s="1">
        <v>-43</v>
      </c>
    </row>
    <row r="13" spans="1:18" ht="51">
      <c r="A13" s="1" t="s">
        <v>29</v>
      </c>
      <c r="B13" s="4">
        <v>0</v>
      </c>
      <c r="C13" s="4">
        <v>0</v>
      </c>
      <c r="D13" s="4">
        <v>0</v>
      </c>
      <c r="E13" s="13">
        <v>980</v>
      </c>
      <c r="F13" s="13">
        <v>967</v>
      </c>
      <c r="I13" s="3" t="s">
        <v>30</v>
      </c>
      <c r="J13" t="s">
        <v>27</v>
      </c>
      <c r="K13" t="s">
        <v>27</v>
      </c>
      <c r="L13" t="s">
        <v>27</v>
      </c>
      <c r="M13" t="s">
        <v>27</v>
      </c>
      <c r="N13" s="1">
        <v>-49</v>
      </c>
    </row>
    <row r="14" spans="1:18" ht="34">
      <c r="A14" s="1" t="s">
        <v>31</v>
      </c>
      <c r="B14" s="12">
        <v>3957</v>
      </c>
      <c r="C14" s="12">
        <v>3124</v>
      </c>
      <c r="D14" s="12">
        <v>3091</v>
      </c>
      <c r="E14" s="12">
        <v>2497</v>
      </c>
      <c r="F14" s="12">
        <v>1891</v>
      </c>
      <c r="I14" s="3" t="s">
        <v>32</v>
      </c>
      <c r="J14" t="s">
        <v>27</v>
      </c>
      <c r="K14" t="s">
        <v>27</v>
      </c>
      <c r="L14" t="s">
        <v>27</v>
      </c>
      <c r="M14" t="s">
        <v>27</v>
      </c>
      <c r="N14" s="1">
        <v>-4</v>
      </c>
      <c r="R14" s="1"/>
    </row>
    <row r="15" spans="1:18" ht="17">
      <c r="A15" s="1" t="s">
        <v>33</v>
      </c>
      <c r="B15" s="4">
        <v>0</v>
      </c>
      <c r="C15" s="13">
        <v>0</v>
      </c>
      <c r="D15" s="13">
        <v>44</v>
      </c>
      <c r="E15" s="4">
        <v>7</v>
      </c>
      <c r="F15" s="13">
        <v>0</v>
      </c>
      <c r="I15" s="3" t="s">
        <v>34</v>
      </c>
      <c r="J15" t="s">
        <v>27</v>
      </c>
      <c r="K15" t="s">
        <v>27</v>
      </c>
      <c r="L15" t="s">
        <v>27</v>
      </c>
      <c r="M15" t="s">
        <v>27</v>
      </c>
      <c r="N15" s="1">
        <v>115</v>
      </c>
    </row>
    <row r="16" spans="1:18" ht="34">
      <c r="A16" s="1" t="s">
        <v>35</v>
      </c>
      <c r="B16" s="12">
        <v>1540</v>
      </c>
      <c r="C16" s="12">
        <v>1552</v>
      </c>
      <c r="D16" s="12">
        <v>1504</v>
      </c>
      <c r="E16" s="12">
        <v>1405</v>
      </c>
      <c r="F16" s="12">
        <v>1285</v>
      </c>
      <c r="I16" s="3" t="s">
        <v>36</v>
      </c>
      <c r="J16">
        <v>277</v>
      </c>
      <c r="K16" s="13">
        <v>657</v>
      </c>
      <c r="L16" s="13">
        <v>777</v>
      </c>
      <c r="M16" s="13">
        <v>126</v>
      </c>
      <c r="N16" s="1" t="s">
        <v>27</v>
      </c>
    </row>
    <row r="17" spans="1:18" ht="17">
      <c r="A17" s="1" t="s">
        <v>37</v>
      </c>
      <c r="B17" s="13">
        <v>366</v>
      </c>
      <c r="C17" s="13">
        <v>381</v>
      </c>
      <c r="D17" s="13">
        <v>439</v>
      </c>
      <c r="E17" s="13">
        <v>82</v>
      </c>
      <c r="F17" s="13">
        <v>76</v>
      </c>
      <c r="I17" s="3" t="s">
        <v>38</v>
      </c>
      <c r="J17">
        <v>0</v>
      </c>
      <c r="K17">
        <v>0</v>
      </c>
      <c r="L17">
        <v>0</v>
      </c>
      <c r="M17">
        <v>0</v>
      </c>
      <c r="N17" s="1">
        <v>413</v>
      </c>
    </row>
    <row r="18" spans="1:18" ht="17">
      <c r="A18" s="1" t="s">
        <v>39</v>
      </c>
      <c r="B18" s="12">
        <v>2099</v>
      </c>
      <c r="C18" s="12">
        <v>1613</v>
      </c>
      <c r="D18" s="12">
        <v>1451</v>
      </c>
      <c r="E18" s="12">
        <v>1190</v>
      </c>
      <c r="F18" s="13">
        <v>699</v>
      </c>
      <c r="G18" t="s">
        <v>40</v>
      </c>
      <c r="I18" s="3" t="s">
        <v>41</v>
      </c>
      <c r="J18">
        <v>-205</v>
      </c>
      <c r="K18" s="13">
        <v>-538</v>
      </c>
      <c r="L18" s="13">
        <v>-593</v>
      </c>
      <c r="M18" s="13">
        <v>47</v>
      </c>
      <c r="N18" s="1">
        <v>-329</v>
      </c>
    </row>
    <row r="19" spans="1:18" ht="17">
      <c r="A19" s="7" t="s">
        <v>42</v>
      </c>
      <c r="B19" s="14">
        <v>145813</v>
      </c>
      <c r="C19" s="14">
        <v>175036</v>
      </c>
      <c r="D19" s="14">
        <v>118148</v>
      </c>
      <c r="E19" s="14">
        <v>100619</v>
      </c>
      <c r="F19" s="14">
        <v>87555</v>
      </c>
      <c r="I19" s="3" t="s">
        <v>43</v>
      </c>
      <c r="J19">
        <v>-2490</v>
      </c>
      <c r="K19" s="12">
        <v>-3643</v>
      </c>
      <c r="L19" s="12">
        <v>-2980</v>
      </c>
      <c r="M19" s="12">
        <v>-3945</v>
      </c>
      <c r="N19" s="1">
        <v>-1772</v>
      </c>
    </row>
    <row r="20" spans="1:18" ht="17">
      <c r="B20" s="4"/>
      <c r="C20" s="4"/>
      <c r="D20" s="4"/>
      <c r="E20" s="4"/>
      <c r="F20" s="4"/>
      <c r="I20" s="3" t="s">
        <v>44</v>
      </c>
      <c r="J20">
        <v>-1285</v>
      </c>
      <c r="K20" s="12">
        <v>-2343</v>
      </c>
      <c r="L20" s="12">
        <v>-1881</v>
      </c>
      <c r="M20" s="4" t="s">
        <v>27</v>
      </c>
      <c r="N20" s="1">
        <v>-1202</v>
      </c>
    </row>
    <row r="21" spans="1:18" ht="17">
      <c r="A21" s="1" t="s">
        <v>45</v>
      </c>
      <c r="B21" s="4"/>
      <c r="C21" s="4"/>
      <c r="D21" s="4"/>
      <c r="E21" s="4"/>
      <c r="F21" s="4"/>
      <c r="I21" s="10" t="s">
        <v>46</v>
      </c>
      <c r="J21">
        <v>788</v>
      </c>
      <c r="K21" s="13">
        <v>425</v>
      </c>
      <c r="L21" s="13">
        <v>557</v>
      </c>
      <c r="M21" s="13">
        <v>904</v>
      </c>
      <c r="N21" s="2">
        <v>384</v>
      </c>
    </row>
    <row r="22" spans="1:18" ht="17">
      <c r="B22" s="4"/>
      <c r="C22" s="4"/>
      <c r="D22" s="4"/>
      <c r="E22" s="4"/>
      <c r="F22" s="4"/>
      <c r="I22" s="3" t="s">
        <v>47</v>
      </c>
      <c r="J22">
        <v>-201</v>
      </c>
      <c r="K22" s="13">
        <v>-101</v>
      </c>
      <c r="L22" s="13">
        <v>-124</v>
      </c>
      <c r="M22" s="13">
        <v>-171</v>
      </c>
      <c r="N22" s="1">
        <v>-110</v>
      </c>
    </row>
    <row r="23" spans="1:18" ht="17">
      <c r="A23" s="1" t="s">
        <v>48</v>
      </c>
      <c r="B23" s="12">
        <v>7276</v>
      </c>
      <c r="C23" s="12">
        <v>19516</v>
      </c>
      <c r="D23" s="12">
        <v>4458</v>
      </c>
      <c r="E23" s="12">
        <v>3895</v>
      </c>
      <c r="F23" s="13">
        <v>470</v>
      </c>
      <c r="I23" s="10" t="s">
        <v>49</v>
      </c>
      <c r="J23">
        <v>587</v>
      </c>
      <c r="K23" s="13">
        <v>324</v>
      </c>
      <c r="L23" s="13">
        <v>433</v>
      </c>
      <c r="M23" s="13">
        <v>733</v>
      </c>
      <c r="N23" s="2">
        <v>274</v>
      </c>
    </row>
    <row r="24" spans="1:18">
      <c r="A24" s="1" t="s">
        <v>50</v>
      </c>
      <c r="B24" s="12">
        <v>113885</v>
      </c>
      <c r="C24" s="12">
        <v>134821</v>
      </c>
      <c r="D24" s="12">
        <v>93867</v>
      </c>
      <c r="E24" s="12">
        <v>80142</v>
      </c>
      <c r="F24" s="12">
        <v>71880</v>
      </c>
      <c r="I24" s="3"/>
      <c r="K24" s="4"/>
      <c r="L24" s="4"/>
      <c r="M24" s="4"/>
      <c r="N24" s="2"/>
    </row>
    <row r="25" spans="1:18">
      <c r="A25" s="1" t="s">
        <v>51</v>
      </c>
      <c r="B25" s="4">
        <v>0</v>
      </c>
      <c r="C25" s="4">
        <v>0</v>
      </c>
      <c r="D25" s="4">
        <v>0</v>
      </c>
      <c r="E25" s="4">
        <v>0</v>
      </c>
      <c r="F25" s="13">
        <v>102</v>
      </c>
      <c r="I25" s="3"/>
      <c r="K25" s="4"/>
      <c r="L25" s="4"/>
      <c r="M25" s="13"/>
      <c r="N25" s="2"/>
    </row>
    <row r="26" spans="1:18">
      <c r="A26" s="1" t="s">
        <v>52</v>
      </c>
      <c r="B26" s="13">
        <v>30</v>
      </c>
      <c r="C26" s="13">
        <v>25</v>
      </c>
      <c r="D26" s="4">
        <v>0</v>
      </c>
      <c r="E26" s="4">
        <v>0</v>
      </c>
      <c r="F26" s="13">
        <v>11</v>
      </c>
      <c r="I26" s="3"/>
      <c r="J26" s="18">
        <f>J23/B37*100%</f>
        <v>2.9383791360064075E-2</v>
      </c>
      <c r="K26" s="18">
        <f>K23/C37*100%</f>
        <v>1.8504768975955224E-2</v>
      </c>
      <c r="L26" s="18">
        <f>L23/D37*100%</f>
        <v>2.5372084847064338E-2</v>
      </c>
      <c r="M26" s="18">
        <f>M23/E37*100%</f>
        <v>5.5063100961538464E-2</v>
      </c>
      <c r="N26" s="18">
        <f>N23/F37*100%</f>
        <v>2.1429688722039732E-2</v>
      </c>
    </row>
    <row r="27" spans="1:18">
      <c r="A27" s="1" t="s">
        <v>53</v>
      </c>
      <c r="B27" s="12">
        <v>1507</v>
      </c>
      <c r="C27" s="12">
        <v>1055</v>
      </c>
      <c r="D27" s="12">
        <v>1109</v>
      </c>
      <c r="E27" s="12">
        <v>2509</v>
      </c>
      <c r="F27" s="13">
        <v>411</v>
      </c>
      <c r="I27" s="3"/>
      <c r="K27" s="13"/>
      <c r="L27" s="13"/>
      <c r="M27" s="4"/>
      <c r="N27" s="1"/>
    </row>
    <row r="28" spans="1:18">
      <c r="A28" s="1" t="s">
        <v>54</v>
      </c>
      <c r="B28" s="12">
        <v>3138</v>
      </c>
      <c r="C28" s="12">
        <v>2110</v>
      </c>
      <c r="D28" s="12">
        <v>1648</v>
      </c>
      <c r="E28" s="15">
        <v>761</v>
      </c>
      <c r="F28" s="13">
        <v>395</v>
      </c>
      <c r="I28" s="3"/>
      <c r="K28" s="13"/>
      <c r="L28" s="13"/>
      <c r="M28" s="4"/>
      <c r="N28" s="2"/>
      <c r="R28" s="1"/>
    </row>
    <row r="29" spans="1:18">
      <c r="A29" s="1" t="s">
        <v>55</v>
      </c>
      <c r="B29" s="4">
        <v>0</v>
      </c>
      <c r="C29" s="4">
        <v>0</v>
      </c>
      <c r="D29" s="4">
        <v>0</v>
      </c>
      <c r="E29" s="4">
        <v>0</v>
      </c>
      <c r="F29" s="16">
        <v>1500</v>
      </c>
      <c r="I29" s="3"/>
      <c r="K29" s="13"/>
      <c r="L29" s="13"/>
      <c r="M29" s="4"/>
      <c r="N29" s="2"/>
      <c r="R29" s="1"/>
    </row>
    <row r="30" spans="1:18">
      <c r="A30" s="7" t="s">
        <v>56</v>
      </c>
      <c r="B30" s="14">
        <v>125836</v>
      </c>
      <c r="C30" s="14">
        <v>157527</v>
      </c>
      <c r="D30" s="14">
        <v>101082</v>
      </c>
      <c r="E30" s="14">
        <v>87307</v>
      </c>
      <c r="F30" s="14">
        <v>74769</v>
      </c>
      <c r="I30" s="3"/>
      <c r="K30" s="4"/>
      <c r="L30" s="4"/>
      <c r="M30" s="13"/>
      <c r="N30" s="2"/>
      <c r="R30" s="1"/>
    </row>
    <row r="31" spans="1:18">
      <c r="A31" s="1"/>
      <c r="B31" s="4"/>
      <c r="C31" s="4"/>
      <c r="D31" s="4"/>
      <c r="E31" s="13"/>
      <c r="F31" s="4"/>
      <c r="I31" s="3"/>
      <c r="K31" s="13"/>
      <c r="L31" s="13"/>
      <c r="M31" s="4"/>
      <c r="N31" s="2"/>
      <c r="R31" s="1"/>
    </row>
    <row r="32" spans="1:18">
      <c r="A32" s="1" t="s">
        <v>57</v>
      </c>
      <c r="B32" s="4"/>
      <c r="C32" s="4"/>
      <c r="D32" s="4"/>
      <c r="E32" s="13"/>
      <c r="I32" s="3"/>
      <c r="K32" s="13"/>
      <c r="L32" s="13"/>
      <c r="M32" s="4"/>
      <c r="N32" s="2"/>
    </row>
    <row r="33" spans="1:14">
      <c r="A33" s="1" t="s">
        <v>58</v>
      </c>
      <c r="B33" s="12">
        <v>5216</v>
      </c>
      <c r="C33" s="12">
        <v>5216</v>
      </c>
      <c r="D33" s="12">
        <v>5216</v>
      </c>
      <c r="E33" s="12">
        <v>5216</v>
      </c>
      <c r="F33" s="12">
        <v>5216</v>
      </c>
      <c r="I33" s="3"/>
      <c r="K33" s="13"/>
      <c r="L33" s="13"/>
      <c r="M33" s="4"/>
      <c r="N33" s="1"/>
    </row>
    <row r="34" spans="1:14">
      <c r="A34" s="1" t="s">
        <v>59</v>
      </c>
      <c r="B34" s="12">
        <v>9892</v>
      </c>
      <c r="C34" s="12">
        <v>7892</v>
      </c>
      <c r="D34" s="12">
        <v>7892</v>
      </c>
      <c r="E34" s="12">
        <v>4692</v>
      </c>
      <c r="F34" s="12">
        <v>4692</v>
      </c>
      <c r="I34" s="3"/>
      <c r="J34" s="17">
        <f>J23/B19*100%</f>
        <v>4.0257041553222279E-3</v>
      </c>
      <c r="K34" s="17">
        <f t="shared" ref="K34:N34" si="0">K23/C19*100%</f>
        <v>1.8510477844557692E-3</v>
      </c>
      <c r="L34" s="17">
        <f t="shared" si="0"/>
        <v>3.6648948776111319E-3</v>
      </c>
      <c r="M34" s="17">
        <f t="shared" si="0"/>
        <v>7.2849064292032318E-3</v>
      </c>
      <c r="N34" s="17">
        <f t="shared" si="0"/>
        <v>3.1294614813545773E-3</v>
      </c>
    </row>
    <row r="35" spans="1:14">
      <c r="A35" s="1" t="s">
        <v>60</v>
      </c>
      <c r="B35" s="13">
        <v>578</v>
      </c>
      <c r="C35" s="13">
        <v>644</v>
      </c>
      <c r="D35" s="13">
        <v>412</v>
      </c>
      <c r="E35" s="12">
        <v>3208</v>
      </c>
      <c r="F35" s="13">
        <f>250+197</f>
        <v>447</v>
      </c>
      <c r="I35" s="3"/>
      <c r="K35" s="13"/>
      <c r="L35" s="13"/>
      <c r="M35" s="13"/>
      <c r="N35" s="1"/>
    </row>
    <row r="36" spans="1:14">
      <c r="A36" s="1" t="s">
        <v>61</v>
      </c>
      <c r="B36" s="12">
        <v>4291</v>
      </c>
      <c r="C36" s="12">
        <v>3757</v>
      </c>
      <c r="D36" s="12">
        <v>3546</v>
      </c>
      <c r="E36" s="13">
        <v>196</v>
      </c>
      <c r="F36" s="12">
        <v>2475</v>
      </c>
      <c r="N36" s="1"/>
    </row>
    <row r="37" spans="1:14">
      <c r="A37" s="7" t="s">
        <v>62</v>
      </c>
      <c r="B37" s="14">
        <v>19977</v>
      </c>
      <c r="C37" s="14">
        <v>17509</v>
      </c>
      <c r="D37" s="14">
        <v>17066</v>
      </c>
      <c r="E37" s="14">
        <v>13312</v>
      </c>
      <c r="F37" s="14">
        <v>12786</v>
      </c>
      <c r="N37" s="2"/>
    </row>
    <row r="38" spans="1:14">
      <c r="A38" s="7" t="s">
        <v>63</v>
      </c>
      <c r="B38" s="14">
        <v>145813</v>
      </c>
      <c r="C38" s="14">
        <v>175036</v>
      </c>
      <c r="D38" s="14">
        <v>118148</v>
      </c>
      <c r="E38" s="14">
        <v>100619</v>
      </c>
      <c r="F38" s="14">
        <v>87555</v>
      </c>
      <c r="N38" s="2"/>
    </row>
    <row r="40" spans="1:14">
      <c r="B40" s="9">
        <f>B19/B37</f>
        <v>7.2990439004855583</v>
      </c>
      <c r="C40" s="9">
        <f t="shared" ref="C40:F40" si="1">C19/C37</f>
        <v>9.9969158718373414</v>
      </c>
      <c r="D40" s="9">
        <f t="shared" si="1"/>
        <v>6.9230048048751902</v>
      </c>
      <c r="E40" s="9">
        <f t="shared" si="1"/>
        <v>7.5585186298076925</v>
      </c>
      <c r="F40" s="9">
        <f t="shared" si="1"/>
        <v>6.8477240732050682</v>
      </c>
      <c r="K40" s="1"/>
    </row>
    <row r="41" spans="1:14">
      <c r="J41" s="17">
        <f>J23/J2*100%</f>
        <v>5.6901899961225279E-2</v>
      </c>
      <c r="K41" s="17">
        <f t="shared" ref="K41:N41" si="2">K23/K2*100%</f>
        <v>2.5525880406523281E-2</v>
      </c>
      <c r="L41" s="17">
        <f t="shared" si="2"/>
        <v>3.6185859936486715E-2</v>
      </c>
      <c r="M41" s="17">
        <f t="shared" si="2"/>
        <v>9.8880345339268857E-2</v>
      </c>
      <c r="N41" s="17">
        <f t="shared" si="2"/>
        <v>3.6484687083888148E-2</v>
      </c>
    </row>
    <row r="47" spans="1:14">
      <c r="B47" s="9">
        <f>B30/B37</f>
        <v>6.2990439004855583</v>
      </c>
      <c r="C47" s="9">
        <f t="shared" ref="C47:F47" si="3">C30/C37</f>
        <v>8.9969158718373414</v>
      </c>
      <c r="D47" s="9">
        <f t="shared" si="3"/>
        <v>5.9230048048751902</v>
      </c>
      <c r="E47" s="9">
        <f t="shared" si="3"/>
        <v>6.5585186298076925</v>
      </c>
      <c r="F47" s="9">
        <f t="shared" si="3"/>
        <v>5.8477240732050682</v>
      </c>
    </row>
    <row r="48" spans="1:14">
      <c r="J48" s="17">
        <f>J2/B19*100%</f>
        <v>7.0748150027775306E-2</v>
      </c>
      <c r="K48" s="17">
        <f t="shared" ref="K48:N48" si="4">K2/C19*100%</f>
        <v>7.2516510889188507E-2</v>
      </c>
      <c r="L48" s="17">
        <f t="shared" si="4"/>
        <v>0.10127975082100417</v>
      </c>
      <c r="M48" s="17">
        <f t="shared" si="4"/>
        <v>7.3673958198749737E-2</v>
      </c>
      <c r="N48" s="17">
        <f t="shared" si="4"/>
        <v>8.5774655930557941E-2</v>
      </c>
    </row>
    <row r="49" spans="1:14" ht="29">
      <c r="I49" s="8"/>
    </row>
    <row r="55" spans="1:14">
      <c r="J55" s="17">
        <f>-(J4+J5+J18)/(J17+J2+J3)*100%</f>
        <v>0.60723563937265468</v>
      </c>
      <c r="K55" s="17">
        <f t="shared" ref="K55:N55" si="5">-(K4+K5+K18)/(K17+K2+K3)*100%</f>
        <v>0.54867948116893261</v>
      </c>
      <c r="L55" s="17">
        <f t="shared" si="5"/>
        <v>0.5723384895359418</v>
      </c>
      <c r="M55" s="17">
        <f t="shared" si="5"/>
        <v>0.38650793650793652</v>
      </c>
      <c r="N55" s="17">
        <f t="shared" si="5"/>
        <v>0.52383322962041068</v>
      </c>
    </row>
    <row r="59" spans="1:14">
      <c r="A59">
        <v>5</v>
      </c>
    </row>
    <row r="64" spans="1:14">
      <c r="J64" s="9">
        <f>J2/(B9+B12+B6+B5)-J4/(B23+B24+B25+B29)</f>
        <v>0.14240937521100633</v>
      </c>
      <c r="K64" s="9">
        <f t="shared" ref="K64:N64" si="6">K2/(C9+C12+C6+C5)-K4/(C23+C24+C25+C29)</f>
        <v>0.17829378241499427</v>
      </c>
      <c r="L64" s="9">
        <f t="shared" si="6"/>
        <v>0.24686886266745439</v>
      </c>
      <c r="M64" s="9">
        <f t="shared" si="6"/>
        <v>0.1566931116522372</v>
      </c>
      <c r="N64" s="9">
        <f t="shared" si="6"/>
        <v>0.20230086878798942</v>
      </c>
    </row>
    <row r="69" spans="1:14">
      <c r="A69" s="1" t="s">
        <v>57</v>
      </c>
      <c r="B69" s="4"/>
      <c r="C69" s="4"/>
      <c r="D69" s="4"/>
      <c r="E69" s="13"/>
    </row>
    <row r="70" spans="1:14">
      <c r="A70" s="1" t="s">
        <v>58</v>
      </c>
      <c r="B70" s="12">
        <v>5216</v>
      </c>
      <c r="C70" s="12">
        <v>5216</v>
      </c>
      <c r="D70" s="12">
        <v>5216</v>
      </c>
      <c r="E70" s="12">
        <v>5216</v>
      </c>
      <c r="F70" s="12">
        <v>5216</v>
      </c>
    </row>
    <row r="71" spans="1:14">
      <c r="A71" s="1" t="s">
        <v>59</v>
      </c>
      <c r="B71" s="12">
        <v>4692</v>
      </c>
      <c r="C71" s="12">
        <v>4692</v>
      </c>
      <c r="D71" s="12">
        <v>7892</v>
      </c>
      <c r="E71" s="12">
        <v>7892</v>
      </c>
      <c r="F71" s="12">
        <v>9892</v>
      </c>
    </row>
    <row r="72" spans="1:14">
      <c r="A72" s="1" t="s">
        <v>60</v>
      </c>
      <c r="B72" s="13">
        <f>250+197</f>
        <v>447</v>
      </c>
      <c r="C72" s="12">
        <v>3208</v>
      </c>
      <c r="D72" s="13">
        <v>412</v>
      </c>
      <c r="E72" s="13">
        <v>644</v>
      </c>
      <c r="F72" s="13">
        <v>578</v>
      </c>
      <c r="J72" s="17">
        <f>J6/(B3+B5+B8+B9+B11+B12)*100%</f>
        <v>0.13305813339954686</v>
      </c>
      <c r="K72" s="17">
        <f t="shared" ref="K72:N72" si="7">K6/(C3+C5+C8+C9+C11+C12)*100%</f>
        <v>8.208528341133646E-2</v>
      </c>
      <c r="L72" s="17">
        <f t="shared" si="7"/>
        <v>0.11937608749689287</v>
      </c>
      <c r="M72" s="17">
        <f t="shared" si="7"/>
        <v>0.14046198562031512</v>
      </c>
      <c r="N72" s="17">
        <f t="shared" si="7"/>
        <v>0.1169375</v>
      </c>
    </row>
    <row r="73" spans="1:14">
      <c r="A73" s="1" t="s">
        <v>61</v>
      </c>
      <c r="B73" s="12">
        <v>2475</v>
      </c>
      <c r="C73" s="13">
        <v>196</v>
      </c>
      <c r="D73" s="12">
        <v>3546</v>
      </c>
      <c r="E73" s="12">
        <v>3757</v>
      </c>
      <c r="F73" s="12">
        <v>4291</v>
      </c>
    </row>
    <row r="74" spans="1:14">
      <c r="A74" s="7" t="s">
        <v>62</v>
      </c>
      <c r="B74" s="14">
        <v>12786</v>
      </c>
      <c r="C74" s="14">
        <v>13312</v>
      </c>
      <c r="D74" s="14">
        <v>17066</v>
      </c>
      <c r="E74" s="14">
        <v>17509</v>
      </c>
      <c r="F74" s="14">
        <v>19977</v>
      </c>
    </row>
    <row r="78" spans="1:14">
      <c r="J78" s="17">
        <f>-J7/B6*100%</f>
        <v>2.9786262157172495E-3</v>
      </c>
      <c r="K78" s="17">
        <f t="shared" ref="K78:N78" si="8">-K7/C6*100%</f>
        <v>8.8851836819762407E-3</v>
      </c>
      <c r="L78" s="17">
        <f t="shared" si="8"/>
        <v>1.6688305519490802E-2</v>
      </c>
      <c r="M78" s="17">
        <f t="shared" si="8"/>
        <v>3.1108782500491191E-3</v>
      </c>
      <c r="N78" s="17">
        <f t="shared" si="8"/>
        <v>1.7420489052261467E-2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7AB11-B988-A246-8FB6-804E253B0A01}">
  <dimension ref="A1:AH27"/>
  <sheetViews>
    <sheetView topLeftCell="Q1" zoomScale="94" workbookViewId="0">
      <selection activeCell="AH4" sqref="AH4"/>
    </sheetView>
  </sheetViews>
  <sheetFormatPr baseColWidth="10" defaultColWidth="11" defaultRowHeight="16"/>
  <cols>
    <col min="2" max="2" width="28.1640625" customWidth="1"/>
    <col min="3" max="3" width="21.1640625" customWidth="1"/>
    <col min="4" max="4" width="24.83203125" customWidth="1"/>
    <col min="5" max="5" width="26.83203125" customWidth="1"/>
  </cols>
  <sheetData>
    <row r="1" spans="1:34">
      <c r="A1" s="1" t="s">
        <v>64</v>
      </c>
      <c r="B1" t="s">
        <v>58</v>
      </c>
      <c r="C1" s="1" t="s">
        <v>59</v>
      </c>
      <c r="D1" s="1" t="s">
        <v>60</v>
      </c>
      <c r="E1" s="1" t="s">
        <v>61</v>
      </c>
      <c r="F1" s="1" t="s">
        <v>65</v>
      </c>
      <c r="G1" s="1" t="s">
        <v>66</v>
      </c>
      <c r="H1" s="1" t="s">
        <v>67</v>
      </c>
      <c r="I1" s="1" t="s">
        <v>68</v>
      </c>
      <c r="J1" s="1" t="s">
        <v>69</v>
      </c>
      <c r="K1" s="1" t="s">
        <v>70</v>
      </c>
      <c r="L1" s="1" t="s">
        <v>71</v>
      </c>
      <c r="M1" s="1" t="s">
        <v>72</v>
      </c>
      <c r="N1" s="1" t="s">
        <v>73</v>
      </c>
      <c r="O1" s="1" t="s">
        <v>74</v>
      </c>
    </row>
    <row r="2" spans="1:34">
      <c r="A2">
        <v>2020</v>
      </c>
      <c r="B2">
        <v>5216</v>
      </c>
      <c r="C2" s="12">
        <v>4692</v>
      </c>
      <c r="D2" s="13">
        <f>250+197</f>
        <v>447</v>
      </c>
      <c r="E2" s="12">
        <v>2475</v>
      </c>
      <c r="F2" s="9">
        <v>6.8477240732050682</v>
      </c>
      <c r="G2" s="9">
        <v>5.8477240732050682</v>
      </c>
      <c r="H2" s="17">
        <v>2.1429688722039732E-2</v>
      </c>
      <c r="I2" s="17">
        <v>3.1294614813545773E-3</v>
      </c>
      <c r="J2" s="17">
        <v>3.6484687083888148E-2</v>
      </c>
      <c r="K2" s="17">
        <v>8.5774655930557941E-2</v>
      </c>
      <c r="L2" s="17">
        <v>0.52383322962041068</v>
      </c>
      <c r="M2" s="17">
        <v>0.20230086878798942</v>
      </c>
      <c r="N2" s="17">
        <v>0.1169375</v>
      </c>
      <c r="O2" s="17">
        <v>1.7420489052261467E-2</v>
      </c>
    </row>
    <row r="3" spans="1:34">
      <c r="A3">
        <v>2021</v>
      </c>
      <c r="B3">
        <v>5216</v>
      </c>
      <c r="C3" s="12">
        <v>4692</v>
      </c>
      <c r="D3" s="12">
        <v>3208</v>
      </c>
      <c r="E3" s="13">
        <v>196</v>
      </c>
      <c r="F3" s="9">
        <v>7.5585186298076925</v>
      </c>
      <c r="G3" s="9">
        <v>6.5585186298076925</v>
      </c>
      <c r="H3" s="17">
        <v>5.5063100961538464E-2</v>
      </c>
      <c r="I3" s="17">
        <v>7.2849064292032318E-3</v>
      </c>
      <c r="J3" s="17">
        <v>9.8880345339268857E-2</v>
      </c>
      <c r="K3" s="17">
        <v>7.3673958198749737E-2</v>
      </c>
      <c r="L3" s="17">
        <v>0.38650793650793652</v>
      </c>
      <c r="M3" s="17">
        <v>0.1566931116522372</v>
      </c>
      <c r="N3" s="17">
        <v>0.14046198562031512</v>
      </c>
      <c r="O3" s="17">
        <v>3.1108782500491191E-3</v>
      </c>
    </row>
    <row r="4" spans="1:34">
      <c r="A4">
        <v>2022</v>
      </c>
      <c r="B4">
        <v>5216</v>
      </c>
      <c r="C4" s="12">
        <v>7892</v>
      </c>
      <c r="D4" s="13">
        <v>412</v>
      </c>
      <c r="E4" s="12">
        <v>3546</v>
      </c>
      <c r="F4" s="9">
        <v>6.9230048048751902</v>
      </c>
      <c r="G4" s="9">
        <v>5.9230048048751902</v>
      </c>
      <c r="H4" s="17">
        <v>2.5372084847064338E-2</v>
      </c>
      <c r="I4" s="17">
        <v>3.6648948776111319E-3</v>
      </c>
      <c r="J4" s="17">
        <v>3.6185859936486715E-2</v>
      </c>
      <c r="K4" s="17">
        <v>0.10127975082100417</v>
      </c>
      <c r="L4" s="17">
        <v>0.5723384895359418</v>
      </c>
      <c r="M4" s="17">
        <v>0.24686886266745439</v>
      </c>
      <c r="N4" s="17">
        <v>0.11937608749689287</v>
      </c>
      <c r="O4" s="17">
        <v>1.6688305519490802E-2</v>
      </c>
      <c r="AH4">
        <v>43</v>
      </c>
    </row>
    <row r="5" spans="1:34">
      <c r="A5">
        <v>2023</v>
      </c>
      <c r="B5">
        <v>5216</v>
      </c>
      <c r="C5" s="12">
        <v>7892</v>
      </c>
      <c r="D5" s="13">
        <v>644</v>
      </c>
      <c r="E5" s="12">
        <v>3757</v>
      </c>
      <c r="F5" s="9">
        <v>9.9969158718373414</v>
      </c>
      <c r="G5" s="9">
        <v>8.9969158718373414</v>
      </c>
      <c r="H5" s="17">
        <v>1.8504768975955224E-2</v>
      </c>
      <c r="I5" s="17">
        <v>1.8510477844557692E-3</v>
      </c>
      <c r="J5" s="17">
        <v>2.5525880406523281E-2</v>
      </c>
      <c r="K5" s="17">
        <v>7.2516510889188507E-2</v>
      </c>
      <c r="L5" s="17">
        <v>0.54867948116893261</v>
      </c>
      <c r="M5" s="17">
        <v>0.17829378241499427</v>
      </c>
      <c r="N5" s="17">
        <v>8.208528341133646E-2</v>
      </c>
      <c r="O5" s="17">
        <v>8.8851836819762407E-3</v>
      </c>
    </row>
    <row r="6" spans="1:34">
      <c r="A6">
        <v>2024</v>
      </c>
      <c r="B6">
        <v>5216</v>
      </c>
      <c r="C6" s="12">
        <v>9892</v>
      </c>
      <c r="D6" s="13">
        <v>578</v>
      </c>
      <c r="E6" s="12">
        <v>4291</v>
      </c>
      <c r="F6" s="9">
        <v>7.2990439004855583</v>
      </c>
      <c r="G6" s="9">
        <v>6.2990439004855583</v>
      </c>
      <c r="H6" s="17">
        <v>2.9383791360064075E-2</v>
      </c>
      <c r="I6" s="17">
        <v>4.0257041553222279E-3</v>
      </c>
      <c r="J6" s="17">
        <v>5.6901899961225279E-2</v>
      </c>
      <c r="K6" s="17">
        <v>7.0748150027775306E-2</v>
      </c>
      <c r="L6" s="17">
        <v>0.60723563937265468</v>
      </c>
      <c r="M6" s="17">
        <v>0.14240937521100633</v>
      </c>
      <c r="N6" s="17">
        <v>0.13305813339954686</v>
      </c>
      <c r="O6" s="17">
        <v>2.9786262157172495E-3</v>
      </c>
    </row>
    <row r="12" spans="1:34">
      <c r="J12" s="17"/>
      <c r="K12" s="17"/>
      <c r="L12" s="17"/>
      <c r="M12" s="17"/>
    </row>
    <row r="15" spans="1:34">
      <c r="J15" s="17"/>
      <c r="K15" s="17"/>
      <c r="L15" s="17"/>
      <c r="M15" s="17"/>
      <c r="N15" s="17"/>
    </row>
    <row r="17" spans="10:14">
      <c r="J17" s="17"/>
      <c r="K17" s="17"/>
      <c r="L17" s="17"/>
      <c r="M17" s="17"/>
      <c r="N17" s="17"/>
    </row>
    <row r="19" spans="10:14">
      <c r="J19" s="17"/>
      <c r="K19" s="17"/>
      <c r="L19" s="17"/>
      <c r="M19" s="17"/>
      <c r="N19" s="17"/>
    </row>
    <row r="21" spans="10:14">
      <c r="J21" s="17"/>
      <c r="K21" s="17"/>
      <c r="L21" s="17"/>
      <c r="M21" s="17"/>
      <c r="N21" s="17"/>
    </row>
    <row r="23" spans="10:14">
      <c r="J23" s="17"/>
      <c r="K23" s="17"/>
      <c r="L23" s="17"/>
      <c r="M23" s="17"/>
      <c r="N23" s="17"/>
    </row>
    <row r="25" spans="10:14">
      <c r="J25" s="17"/>
      <c r="K25" s="17"/>
      <c r="L25" s="17"/>
      <c r="M25" s="17"/>
      <c r="N25" s="17"/>
    </row>
    <row r="27" spans="10:14">
      <c r="J27" s="17"/>
      <c r="K27" s="17"/>
      <c r="L27" s="17"/>
      <c r="M27" s="17"/>
      <c r="N27" s="1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4EF79-B19B-284E-8FC7-7596FD5A228D}">
  <dimension ref="A1:BN97"/>
  <sheetViews>
    <sheetView topLeftCell="B11" zoomScale="50" zoomScaleNormal="88" workbookViewId="0">
      <selection activeCell="AP52" sqref="AP52"/>
    </sheetView>
  </sheetViews>
  <sheetFormatPr baseColWidth="10" defaultColWidth="11" defaultRowHeight="16"/>
  <cols>
    <col min="1" max="1" width="17.33203125" customWidth="1"/>
    <col min="2" max="2" width="70.33203125" customWidth="1"/>
    <col min="3" max="4" width="13.6640625" customWidth="1"/>
    <col min="5" max="5" width="13" customWidth="1"/>
    <col min="6" max="6" width="13.6640625" customWidth="1"/>
    <col min="7" max="7" width="12.6640625" customWidth="1"/>
    <col min="8" max="8" width="13.33203125" customWidth="1"/>
    <col min="9" max="9" width="12.1640625" customWidth="1"/>
    <col min="10" max="10" width="14" customWidth="1"/>
    <col min="11" max="11" width="12.1640625" customWidth="1"/>
    <col min="12" max="13" width="12.5" customWidth="1"/>
    <col min="14" max="14" width="13.1640625" customWidth="1"/>
    <col min="15" max="15" width="11.83203125" bestFit="1" customWidth="1"/>
    <col min="16" max="16" width="12" customWidth="1"/>
    <col min="17" max="17" width="13" customWidth="1"/>
    <col min="18" max="18" width="13.1640625" customWidth="1"/>
    <col min="20" max="20" width="19" customWidth="1"/>
    <col min="21" max="21" width="18.1640625" customWidth="1"/>
    <col min="22" max="22" width="14.1640625" customWidth="1"/>
    <col min="23" max="23" width="17.33203125" customWidth="1"/>
    <col min="24" max="24" width="14.5" customWidth="1"/>
    <col min="25" max="25" width="17" customWidth="1"/>
    <col min="26" max="26" width="15.5" customWidth="1"/>
    <col min="27" max="27" width="45.6640625" customWidth="1"/>
    <col min="28" max="28" width="9.6640625" customWidth="1"/>
    <col min="29" max="30" width="11" customWidth="1"/>
    <col min="33" max="33" width="21" customWidth="1"/>
    <col min="34" max="34" width="40" customWidth="1"/>
    <col min="39" max="39" width="14.5" customWidth="1"/>
    <col min="40" max="40" width="16.33203125" customWidth="1"/>
    <col min="41" max="41" width="42.5" customWidth="1"/>
    <col min="42" max="42" width="12.83203125" customWidth="1"/>
    <col min="46" max="46" width="16" customWidth="1"/>
    <col min="47" max="47" width="36.5" customWidth="1"/>
    <col min="52" max="53" width="14" customWidth="1"/>
    <col min="56" max="56" width="11.33203125" customWidth="1"/>
    <col min="58" max="58" width="18" customWidth="1"/>
    <col min="59" max="59" width="30.33203125" customWidth="1"/>
    <col min="64" max="64" width="24.33203125" customWidth="1"/>
    <col min="65" max="65" width="11.83203125" customWidth="1"/>
    <col min="66" max="66" width="12.33203125" customWidth="1"/>
    <col min="71" max="71" width="17.83203125" customWidth="1"/>
    <col min="72" max="72" width="26.6640625" customWidth="1"/>
  </cols>
  <sheetData>
    <row r="1" spans="1:66" ht="32" customHeight="1">
      <c r="A1" s="28" t="s">
        <v>75</v>
      </c>
      <c r="B1" s="28" t="s">
        <v>76</v>
      </c>
      <c r="C1" s="29">
        <v>45474</v>
      </c>
      <c r="D1" s="29" t="s">
        <v>77</v>
      </c>
      <c r="E1" s="40" t="s">
        <v>78</v>
      </c>
      <c r="F1" s="29">
        <v>45291</v>
      </c>
      <c r="G1" s="29" t="s">
        <v>77</v>
      </c>
      <c r="H1" s="40" t="s">
        <v>78</v>
      </c>
      <c r="I1" s="30">
        <v>44926</v>
      </c>
      <c r="J1" s="29" t="s">
        <v>77</v>
      </c>
      <c r="K1" s="40" t="s">
        <v>78</v>
      </c>
      <c r="L1" s="30">
        <v>44561</v>
      </c>
      <c r="M1" s="29" t="s">
        <v>77</v>
      </c>
      <c r="N1" s="40" t="s">
        <v>78</v>
      </c>
      <c r="O1" s="30">
        <v>44196</v>
      </c>
      <c r="P1" s="29" t="s">
        <v>77</v>
      </c>
      <c r="Q1" s="40" t="s">
        <v>78</v>
      </c>
      <c r="R1" s="30">
        <v>43830</v>
      </c>
      <c r="T1" s="307" t="s">
        <v>79</v>
      </c>
      <c r="U1" s="307"/>
      <c r="V1" s="109"/>
      <c r="W1" s="109"/>
      <c r="Z1" s="118" t="s">
        <v>80</v>
      </c>
      <c r="AA1" s="60"/>
      <c r="AB1" s="261">
        <v>2024</v>
      </c>
      <c r="AC1" s="261">
        <v>2023</v>
      </c>
      <c r="AD1" s="261">
        <v>2022</v>
      </c>
      <c r="AE1" s="263" t="s">
        <v>81</v>
      </c>
      <c r="AF1" s="238"/>
      <c r="AG1" s="118" t="s">
        <v>82</v>
      </c>
      <c r="AH1" s="89"/>
      <c r="AI1" s="65">
        <v>2024</v>
      </c>
      <c r="AJ1" s="65">
        <v>2023</v>
      </c>
      <c r="AK1" s="65">
        <v>2022</v>
      </c>
      <c r="AL1" s="263" t="s">
        <v>81</v>
      </c>
      <c r="AN1" s="118" t="s">
        <v>83</v>
      </c>
      <c r="AO1" s="111"/>
      <c r="AP1" s="65">
        <v>2022</v>
      </c>
      <c r="AQ1" s="65">
        <v>2023</v>
      </c>
      <c r="AR1" s="65">
        <v>2024</v>
      </c>
      <c r="AT1" s="118" t="s">
        <v>84</v>
      </c>
      <c r="AU1" s="111"/>
      <c r="AV1" s="65">
        <v>2024</v>
      </c>
      <c r="AW1" s="65">
        <v>2023</v>
      </c>
      <c r="AX1" s="36">
        <v>2022</v>
      </c>
      <c r="AZ1" s="271" t="s">
        <v>85</v>
      </c>
      <c r="BA1" s="36"/>
      <c r="BB1" s="54">
        <v>2022</v>
      </c>
      <c r="BC1" s="54">
        <v>2023</v>
      </c>
      <c r="BD1" s="54">
        <v>2024</v>
      </c>
      <c r="BF1" s="118" t="s">
        <v>86</v>
      </c>
      <c r="BG1" s="235"/>
      <c r="BH1" s="234">
        <v>2023</v>
      </c>
      <c r="BI1" s="234">
        <v>2024</v>
      </c>
      <c r="BK1" s="118" t="s">
        <v>87</v>
      </c>
      <c r="BL1" s="235"/>
      <c r="BM1" s="234">
        <v>2023</v>
      </c>
      <c r="BN1" s="234">
        <v>2024</v>
      </c>
    </row>
    <row r="2" spans="1:66" ht="35" customHeight="1">
      <c r="A2" s="31"/>
      <c r="B2" s="308" t="s">
        <v>88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10"/>
      <c r="T2" s="54">
        <v>2020</v>
      </c>
      <c r="U2" s="53">
        <v>87555</v>
      </c>
      <c r="V2" s="12"/>
      <c r="W2" s="12"/>
      <c r="Z2" s="63"/>
      <c r="AA2" s="88" t="s">
        <v>89</v>
      </c>
      <c r="AB2" s="90">
        <v>2287</v>
      </c>
      <c r="AC2" s="90">
        <v>1447</v>
      </c>
      <c r="AD2" s="90">
        <v>2454</v>
      </c>
      <c r="AE2" s="25">
        <f>AB2/$AB$8</f>
        <v>0.14865128371790706</v>
      </c>
      <c r="AF2" s="17"/>
      <c r="AG2" s="313" t="s">
        <v>90</v>
      </c>
      <c r="AH2" s="88" t="s">
        <v>91</v>
      </c>
      <c r="AI2" s="116">
        <v>36313</v>
      </c>
      <c r="AJ2" s="116">
        <v>31884</v>
      </c>
      <c r="AK2" s="274">
        <v>19708</v>
      </c>
      <c r="AL2" s="25">
        <f>AI2/$AI$9</f>
        <v>0.34556822291163092</v>
      </c>
      <c r="AM2" s="17"/>
      <c r="AO2" s="88" t="s">
        <v>92</v>
      </c>
      <c r="AP2" s="229">
        <v>13489</v>
      </c>
      <c r="AQ2" s="90">
        <v>11960</v>
      </c>
      <c r="AR2" s="92">
        <v>10864</v>
      </c>
      <c r="AU2" s="88" t="s">
        <v>92</v>
      </c>
      <c r="AV2" s="117">
        <v>1496</v>
      </c>
      <c r="AW2" s="116">
        <v>1494</v>
      </c>
      <c r="AX2" s="269">
        <v>1489</v>
      </c>
      <c r="BA2" s="239" t="s">
        <v>93</v>
      </c>
      <c r="BB2" s="116">
        <f>I16</f>
        <v>3091</v>
      </c>
      <c r="BC2" s="116">
        <f>F16</f>
        <v>3124</v>
      </c>
      <c r="BD2" s="116">
        <f>C16</f>
        <v>3957</v>
      </c>
      <c r="BG2" s="236" t="s">
        <v>94</v>
      </c>
      <c r="BH2" s="36">
        <v>792</v>
      </c>
      <c r="BI2" s="36">
        <v>766</v>
      </c>
      <c r="BL2" s="237" t="s">
        <v>95</v>
      </c>
      <c r="BM2" s="36">
        <v>1512</v>
      </c>
      <c r="BN2" s="36">
        <v>1079</v>
      </c>
    </row>
    <row r="3" spans="1:66" s="47" customFormat="1" ht="31" customHeight="1">
      <c r="A3" s="41" t="s">
        <v>96</v>
      </c>
      <c r="B3" s="23" t="s">
        <v>10</v>
      </c>
      <c r="C3" s="42">
        <v>15385</v>
      </c>
      <c r="D3" s="43">
        <f>(C3-F3)/F3</f>
        <v>-0.73843041245877117</v>
      </c>
      <c r="E3" s="44">
        <f>C3/$C$21</f>
        <v>0.10551185422424612</v>
      </c>
      <c r="F3" s="42">
        <v>58818</v>
      </c>
      <c r="G3" s="43">
        <f>(F3-I3)/I3</f>
        <v>0.98160501313927628</v>
      </c>
      <c r="H3" s="45">
        <f>F3/$F$21</f>
        <v>0.33603373020407229</v>
      </c>
      <c r="I3" s="42">
        <v>29682</v>
      </c>
      <c r="J3" s="45">
        <f>(I3-L3)/L3</f>
        <v>1.086021505376344</v>
      </c>
      <c r="K3" s="44">
        <f>I3/$I$21</f>
        <v>0.25122727426617464</v>
      </c>
      <c r="L3" s="42">
        <v>14229</v>
      </c>
      <c r="M3" s="43">
        <f>(L3-O3)/O3</f>
        <v>-0.14867775517530213</v>
      </c>
      <c r="N3" s="44">
        <f>L3/$L$21</f>
        <v>0.14141464335761636</v>
      </c>
      <c r="O3" s="42">
        <v>16714</v>
      </c>
      <c r="P3" s="44">
        <f>(O3-R3)/R3</f>
        <v>-0.3777595770820148</v>
      </c>
      <c r="Q3" s="44">
        <f>O3/$O$21</f>
        <v>0.19089715036262919</v>
      </c>
      <c r="R3" s="46">
        <v>26861</v>
      </c>
      <c r="T3" s="65">
        <v>2021</v>
      </c>
      <c r="U3" s="53">
        <v>100619</v>
      </c>
      <c r="V3" s="12"/>
      <c r="W3" s="12"/>
      <c r="Z3" s="63"/>
      <c r="AA3" s="88" t="s">
        <v>97</v>
      </c>
      <c r="AB3" s="90">
        <v>4002</v>
      </c>
      <c r="AC3" s="90">
        <v>2850</v>
      </c>
      <c r="AD3" s="90">
        <v>3130</v>
      </c>
      <c r="AE3" s="25">
        <f t="shared" ref="AE3:AE8" si="0">AB3/$AB$8</f>
        <v>0.26012349691257719</v>
      </c>
      <c r="AF3" s="17"/>
      <c r="AG3" s="313"/>
      <c r="AH3" s="88" t="s">
        <v>98</v>
      </c>
      <c r="AI3" s="275">
        <v>34520</v>
      </c>
      <c r="AJ3" s="116">
        <v>30736</v>
      </c>
      <c r="AK3" s="274">
        <v>18114</v>
      </c>
      <c r="AL3" s="25">
        <f t="shared" ref="AL3:AL9" si="1">AI3/$AI$9</f>
        <v>0.32850535772063721</v>
      </c>
      <c r="AM3" s="17"/>
      <c r="AN3"/>
      <c r="AO3" s="88" t="s">
        <v>99</v>
      </c>
      <c r="AP3" s="229">
        <v>3285</v>
      </c>
      <c r="AQ3" s="90">
        <v>4019</v>
      </c>
      <c r="AR3" s="92">
        <v>3762</v>
      </c>
      <c r="AT3"/>
      <c r="AU3" s="88" t="s">
        <v>99</v>
      </c>
      <c r="AV3" s="36">
        <v>150</v>
      </c>
      <c r="AW3" s="36">
        <v>150</v>
      </c>
      <c r="AX3" s="270">
        <v>150</v>
      </c>
      <c r="AY3"/>
      <c r="AZ3"/>
      <c r="BA3"/>
      <c r="BB3"/>
      <c r="BC3"/>
      <c r="BD3"/>
      <c r="BE3"/>
      <c r="BG3" s="236" t="s">
        <v>100</v>
      </c>
      <c r="BH3" s="36">
        <v>196</v>
      </c>
      <c r="BI3" s="36">
        <v>169</v>
      </c>
      <c r="BL3" s="237" t="s">
        <v>101</v>
      </c>
      <c r="BM3" s="36">
        <v>368</v>
      </c>
      <c r="BN3" s="36">
        <v>380</v>
      </c>
    </row>
    <row r="4" spans="1:66" ht="40" customHeight="1">
      <c r="A4" s="32"/>
      <c r="B4" s="19" t="s">
        <v>12</v>
      </c>
      <c r="C4" s="38">
        <v>550</v>
      </c>
      <c r="D4" s="55">
        <f t="shared" ref="D4:D21" si="2">(C4-F4)/F4</f>
        <v>0.94346289752650181</v>
      </c>
      <c r="E4" s="25">
        <f t="shared" ref="E4:E21" si="3">C4/$C$21</f>
        <v>3.7719544896545575E-3</v>
      </c>
      <c r="F4" s="38">
        <v>283</v>
      </c>
      <c r="G4" s="55">
        <f t="shared" ref="G4:G21" si="4">(F4-I4)/I4</f>
        <v>0.52972972972972976</v>
      </c>
      <c r="H4" s="27">
        <f t="shared" ref="H4:H21" si="5">F4/$F$21</f>
        <v>1.6168102561758724E-3</v>
      </c>
      <c r="I4" s="38">
        <v>185</v>
      </c>
      <c r="J4" s="27">
        <f t="shared" ref="J4:J21" si="6">(I4-L4)/L4</f>
        <v>-0.73457675753228124</v>
      </c>
      <c r="K4" s="25">
        <f t="shared" ref="K4:K21" si="7">I4/$I$21</f>
        <v>1.5658326844296983E-3</v>
      </c>
      <c r="L4" s="38">
        <v>697</v>
      </c>
      <c r="M4" s="55">
        <f t="shared" ref="M4:M21" si="8">(L4-O4)/O4</f>
        <v>0.19965576592082615</v>
      </c>
      <c r="N4" s="25">
        <f t="shared" ref="N4:N21" si="9">L4/$L$21</f>
        <v>6.9271211202655558E-3</v>
      </c>
      <c r="O4" s="38">
        <v>581</v>
      </c>
      <c r="P4" s="25">
        <f t="shared" ref="P4:P19" si="10">(O4-R4)/R4</f>
        <v>-0.13412816691505217</v>
      </c>
      <c r="Q4" s="25">
        <f t="shared" ref="Q4:Q21" si="11">O4/$O$21</f>
        <v>6.6358289075438299E-3</v>
      </c>
      <c r="R4" s="56">
        <v>671</v>
      </c>
      <c r="T4" s="65">
        <v>2022</v>
      </c>
      <c r="U4" s="53">
        <v>118148</v>
      </c>
      <c r="V4" s="12"/>
      <c r="W4" s="12"/>
      <c r="Z4" s="63"/>
      <c r="AA4" s="88" t="s">
        <v>102</v>
      </c>
      <c r="AB4" s="91"/>
      <c r="AC4" s="90">
        <v>10910</v>
      </c>
      <c r="AD4" s="90"/>
      <c r="AE4" s="25">
        <f t="shared" si="0"/>
        <v>0</v>
      </c>
      <c r="AF4" s="17"/>
      <c r="AG4" s="314" t="s">
        <v>103</v>
      </c>
      <c r="AH4" s="88" t="s">
        <v>104</v>
      </c>
      <c r="AI4" s="60">
        <v>27242</v>
      </c>
      <c r="AJ4" s="116">
        <v>22074</v>
      </c>
      <c r="AK4" s="274">
        <v>20763</v>
      </c>
      <c r="AL4" s="25">
        <f t="shared" si="1"/>
        <v>0.25924516092194666</v>
      </c>
      <c r="AM4" s="17"/>
      <c r="AO4" s="88" t="s">
        <v>105</v>
      </c>
      <c r="AP4" s="91">
        <f>-70</f>
        <v>-70</v>
      </c>
      <c r="AQ4" s="91">
        <v>-59</v>
      </c>
      <c r="AR4" s="91">
        <f>-55</f>
        <v>-55</v>
      </c>
      <c r="AU4" s="88" t="s">
        <v>105</v>
      </c>
      <c r="AV4" s="36">
        <v>-6</v>
      </c>
      <c r="AW4" s="36">
        <v>-6</v>
      </c>
      <c r="AX4" s="268">
        <v>-5</v>
      </c>
      <c r="BG4" s="236" t="s">
        <v>106</v>
      </c>
      <c r="BH4" s="36">
        <v>0</v>
      </c>
      <c r="BI4" s="36">
        <v>110</v>
      </c>
      <c r="BL4" s="237" t="s">
        <v>107</v>
      </c>
      <c r="BM4" s="36">
        <v>264</v>
      </c>
      <c r="BN4" s="36">
        <v>234</v>
      </c>
    </row>
    <row r="5" spans="1:66" ht="66" customHeight="1">
      <c r="A5" s="57"/>
      <c r="B5" s="19" t="s">
        <v>14</v>
      </c>
      <c r="C5" s="38">
        <v>366</v>
      </c>
      <c r="D5" s="55">
        <f t="shared" si="2"/>
        <v>0.40769230769230769</v>
      </c>
      <c r="E5" s="25">
        <f t="shared" si="3"/>
        <v>2.5100642603883058E-3</v>
      </c>
      <c r="F5" s="38">
        <v>260</v>
      </c>
      <c r="G5" s="55">
        <f t="shared" si="4"/>
        <v>2.0232558139534884</v>
      </c>
      <c r="H5" s="27">
        <f t="shared" si="5"/>
        <v>1.4854087159212961E-3</v>
      </c>
      <c r="I5" s="38">
        <v>86</v>
      </c>
      <c r="J5" s="27">
        <f t="shared" si="6"/>
        <v>16.2</v>
      </c>
      <c r="K5" s="25">
        <f t="shared" si="7"/>
        <v>7.2790059924840033E-4</v>
      </c>
      <c r="L5" s="38">
        <v>5</v>
      </c>
      <c r="M5" s="55">
        <f t="shared" si="8"/>
        <v>0.66666666666666663</v>
      </c>
      <c r="N5" s="25">
        <f t="shared" si="9"/>
        <v>4.9692404019121636E-5</v>
      </c>
      <c r="O5" s="38">
        <v>3</v>
      </c>
      <c r="P5" s="25">
        <f t="shared" si="10"/>
        <v>-0.625</v>
      </c>
      <c r="Q5" s="25">
        <f t="shared" si="11"/>
        <v>3.4264176803152301E-5</v>
      </c>
      <c r="R5" s="56">
        <v>8</v>
      </c>
      <c r="T5" s="65">
        <v>2023</v>
      </c>
      <c r="U5" s="53">
        <v>175036</v>
      </c>
      <c r="V5" s="12"/>
      <c r="W5" s="12"/>
      <c r="Z5" s="63"/>
      <c r="AA5" s="88" t="s">
        <v>108</v>
      </c>
      <c r="AB5" s="91">
        <v>2141</v>
      </c>
      <c r="AC5" s="91">
        <v>4642</v>
      </c>
      <c r="AD5" s="91">
        <v>2972</v>
      </c>
      <c r="AE5" s="25">
        <f t="shared" si="0"/>
        <v>0.13916152096197595</v>
      </c>
      <c r="AF5" s="17"/>
      <c r="AG5" s="314"/>
      <c r="AH5" s="88" t="s">
        <v>109</v>
      </c>
      <c r="AI5" s="60">
        <v>6977</v>
      </c>
      <c r="AJ5" s="116">
        <v>6856</v>
      </c>
      <c r="AK5" s="274">
        <v>7255</v>
      </c>
      <c r="AL5" s="25">
        <f t="shared" si="1"/>
        <v>6.639576711520527E-2</v>
      </c>
      <c r="AM5" s="17"/>
      <c r="AO5" s="88" t="s">
        <v>110</v>
      </c>
      <c r="AP5" s="90">
        <f>SUM(AP2:AP4)</f>
        <v>16704</v>
      </c>
      <c r="AQ5" s="90">
        <f>SUM(AQ2:AQ4)</f>
        <v>15920</v>
      </c>
      <c r="AR5" s="90">
        <f>SUM(AR2:AR4)</f>
        <v>14571</v>
      </c>
      <c r="AU5" s="88" t="s">
        <v>111</v>
      </c>
      <c r="AV5" s="116">
        <f>SUM(AV2:AV4)</f>
        <v>1640</v>
      </c>
      <c r="AW5" s="116">
        <f>SUM(AW2:AW4)</f>
        <v>1638</v>
      </c>
      <c r="AX5" s="269">
        <f>SUM(AX2:AX4)</f>
        <v>1634</v>
      </c>
      <c r="AY5" s="47"/>
      <c r="AZ5" s="47"/>
      <c r="BA5" s="47"/>
      <c r="BB5" s="47"/>
      <c r="BC5" s="47"/>
      <c r="BD5" s="47"/>
      <c r="BE5" s="47"/>
      <c r="BG5" s="236" t="s">
        <v>112</v>
      </c>
      <c r="BH5" s="36">
        <v>10</v>
      </c>
      <c r="BI5" s="36">
        <v>36</v>
      </c>
      <c r="BL5" s="237" t="s">
        <v>113</v>
      </c>
      <c r="BM5" s="36">
        <v>1</v>
      </c>
      <c r="BN5" s="36">
        <v>13</v>
      </c>
    </row>
    <row r="6" spans="1:66" s="47" customFormat="1" ht="48" customHeight="1">
      <c r="A6" s="41" t="s">
        <v>114</v>
      </c>
      <c r="B6" s="23" t="s">
        <v>16</v>
      </c>
      <c r="C6" s="42">
        <v>105082</v>
      </c>
      <c r="D6" s="43">
        <f t="shared" si="2"/>
        <v>0.1526825576165769</v>
      </c>
      <c r="E6" s="44">
        <f t="shared" si="3"/>
        <v>0.72066276669432772</v>
      </c>
      <c r="F6" s="42">
        <v>91163</v>
      </c>
      <c r="G6" s="43">
        <f t="shared" si="4"/>
        <v>0.44341176098039836</v>
      </c>
      <c r="H6" s="45">
        <f t="shared" si="5"/>
        <v>0.52082428757512744</v>
      </c>
      <c r="I6" s="42">
        <v>63158</v>
      </c>
      <c r="J6" s="45">
        <f t="shared" si="6"/>
        <v>3.4088676403169822E-2</v>
      </c>
      <c r="K6" s="44">
        <f t="shared" si="7"/>
        <v>0.53456681450384269</v>
      </c>
      <c r="L6" s="42">
        <v>61076</v>
      </c>
      <c r="M6" s="43">
        <f t="shared" si="8"/>
        <v>0.2201534281604603</v>
      </c>
      <c r="N6" s="44">
        <f t="shared" si="9"/>
        <v>0.60700265357437466</v>
      </c>
      <c r="O6" s="42">
        <v>50056</v>
      </c>
      <c r="P6" s="44">
        <f t="shared" si="10"/>
        <v>-7.4185732517062161E-2</v>
      </c>
      <c r="Q6" s="44">
        <f t="shared" si="11"/>
        <v>0.5717092113528639</v>
      </c>
      <c r="R6" s="46">
        <v>54067</v>
      </c>
      <c r="T6" s="65">
        <v>2024</v>
      </c>
      <c r="U6" s="53">
        <v>145813</v>
      </c>
      <c r="V6" s="12"/>
      <c r="W6" s="12"/>
      <c r="Z6" s="63"/>
      <c r="AA6" s="88" t="s">
        <v>115</v>
      </c>
      <c r="AB6" s="91">
        <v>5237</v>
      </c>
      <c r="AC6" s="91">
        <v>3082</v>
      </c>
      <c r="AD6" s="91">
        <v>25</v>
      </c>
      <c r="AE6" s="25">
        <f t="shared" si="0"/>
        <v>0.34039649008774781</v>
      </c>
      <c r="AF6" s="17"/>
      <c r="AG6" s="314"/>
      <c r="AH6" s="88" t="s">
        <v>116</v>
      </c>
      <c r="AI6" s="60">
        <v>5292</v>
      </c>
      <c r="AJ6" s="116">
        <v>4649</v>
      </c>
      <c r="AK6" s="274">
        <v>2208</v>
      </c>
      <c r="AL6" s="25">
        <f t="shared" si="1"/>
        <v>5.036067071429931E-2</v>
      </c>
      <c r="AM6" s="17"/>
      <c r="AN6" s="17"/>
      <c r="AO6" s="266" t="s">
        <v>117</v>
      </c>
      <c r="AP6" s="267">
        <f>E53/AP5</f>
        <v>9.2432950191570884E-2</v>
      </c>
      <c r="AQ6" s="267">
        <f>D53/AQ5</f>
        <v>8.3165829145728648E-2</v>
      </c>
      <c r="AR6" s="267">
        <f>C53/AR5</f>
        <v>8.3522064374442387E-2</v>
      </c>
      <c r="AS6" s="161">
        <f>AP6-AQ6</f>
        <v>9.2671210458422359E-3</v>
      </c>
      <c r="AT6" s="17"/>
      <c r="AU6" s="264" t="s">
        <v>117</v>
      </c>
      <c r="AV6" s="267">
        <f>C54/AV5</f>
        <v>0</v>
      </c>
      <c r="AW6" s="267">
        <f>D54/AW5</f>
        <v>9.8290598290598288E-2</v>
      </c>
      <c r="AX6" s="267">
        <f>E54/AX5</f>
        <v>0.20685434516523868</v>
      </c>
      <c r="BG6" s="236" t="s">
        <v>105</v>
      </c>
      <c r="BH6" s="36">
        <v>-617</v>
      </c>
      <c r="BI6" s="36">
        <v>-715</v>
      </c>
      <c r="BL6" s="237" t="s">
        <v>118</v>
      </c>
      <c r="BM6" s="36">
        <v>69</v>
      </c>
      <c r="BN6" s="36">
        <v>57</v>
      </c>
    </row>
    <row r="7" spans="1:66" ht="49" customHeight="1">
      <c r="A7" s="32"/>
      <c r="B7" s="19" t="s">
        <v>18</v>
      </c>
      <c r="C7" s="39"/>
      <c r="D7" s="55"/>
      <c r="E7" s="25"/>
      <c r="F7" s="39"/>
      <c r="G7" s="55"/>
      <c r="H7" s="27"/>
      <c r="I7" s="39"/>
      <c r="J7" s="27"/>
      <c r="K7" s="25"/>
      <c r="L7" s="39"/>
      <c r="M7" s="55"/>
      <c r="N7" s="25"/>
      <c r="O7" s="39"/>
      <c r="P7" s="25"/>
      <c r="Q7" s="25"/>
      <c r="R7" s="58"/>
      <c r="Z7" s="63"/>
      <c r="AA7" s="88" t="s">
        <v>119</v>
      </c>
      <c r="AB7" s="92">
        <v>1718</v>
      </c>
      <c r="AC7" s="90">
        <v>35887</v>
      </c>
      <c r="AD7" s="90">
        <v>21101</v>
      </c>
      <c r="AE7" s="25">
        <f t="shared" si="0"/>
        <v>0.111667208319792</v>
      </c>
      <c r="AF7" s="17"/>
      <c r="AG7" s="314"/>
      <c r="AH7" s="88" t="s">
        <v>120</v>
      </c>
      <c r="AI7" s="276">
        <v>2</v>
      </c>
      <c r="AJ7" s="36">
        <v>3</v>
      </c>
      <c r="AK7" s="277">
        <v>8</v>
      </c>
      <c r="AL7" s="25">
        <f t="shared" si="1"/>
        <v>1.9032755371995205E-5</v>
      </c>
      <c r="AM7" s="17"/>
      <c r="AN7" s="17"/>
      <c r="AO7" s="304" t="s">
        <v>121</v>
      </c>
      <c r="AP7" s="305"/>
      <c r="AQ7" s="305"/>
      <c r="AR7" s="306"/>
      <c r="AS7" s="17">
        <f>AP6-AR6</f>
        <v>8.9108858171284971E-3</v>
      </c>
      <c r="BG7" s="236" t="s">
        <v>122</v>
      </c>
      <c r="BH7" s="36">
        <f t="shared" ref="BH7:BI7" si="12">SUM(BH2:BH6)</f>
        <v>381</v>
      </c>
      <c r="BI7" s="36">
        <f t="shared" si="12"/>
        <v>366</v>
      </c>
      <c r="BL7" s="237" t="s">
        <v>19</v>
      </c>
      <c r="BM7" s="36">
        <v>-115</v>
      </c>
      <c r="BN7" s="36">
        <v>-150</v>
      </c>
    </row>
    <row r="8" spans="1:66" s="47" customFormat="1" ht="44" customHeight="1">
      <c r="A8" s="311" t="s">
        <v>123</v>
      </c>
      <c r="B8" s="23" t="s">
        <v>20</v>
      </c>
      <c r="C8" s="42">
        <v>9894</v>
      </c>
      <c r="D8" s="43">
        <f t="shared" si="2"/>
        <v>-0.36791669328563215</v>
      </c>
      <c r="E8" s="44">
        <f t="shared" si="3"/>
        <v>6.7854032219349436E-2</v>
      </c>
      <c r="F8" s="42">
        <v>15653</v>
      </c>
      <c r="G8" s="43">
        <f t="shared" si="4"/>
        <v>6.0070432073682782E-2</v>
      </c>
      <c r="H8" s="45">
        <f t="shared" si="5"/>
        <v>8.9427317808907877E-2</v>
      </c>
      <c r="I8" s="42">
        <v>14766</v>
      </c>
      <c r="J8" s="45">
        <f t="shared" si="6"/>
        <v>-0.19971817245677742</v>
      </c>
      <c r="K8" s="44">
        <f t="shared" si="7"/>
        <v>0.12497884009885905</v>
      </c>
      <c r="L8" s="42">
        <v>18451</v>
      </c>
      <c r="M8" s="43">
        <f t="shared" si="8"/>
        <v>0.64038051209103841</v>
      </c>
      <c r="N8" s="44">
        <f t="shared" si="9"/>
        <v>0.18337490931136266</v>
      </c>
      <c r="O8" s="42">
        <v>11248</v>
      </c>
      <c r="P8" s="44">
        <f t="shared" si="10"/>
        <v>0.89647614230315298</v>
      </c>
      <c r="Q8" s="44">
        <f t="shared" si="11"/>
        <v>0.1284678202272857</v>
      </c>
      <c r="R8" s="48">
        <v>5931</v>
      </c>
      <c r="T8" s="36"/>
      <c r="U8" s="110" t="s">
        <v>16</v>
      </c>
      <c r="V8" s="110" t="s">
        <v>10</v>
      </c>
      <c r="W8" s="110" t="s">
        <v>124</v>
      </c>
      <c r="X8" s="110" t="s">
        <v>31</v>
      </c>
      <c r="Z8" s="63"/>
      <c r="AA8" s="88" t="s">
        <v>125</v>
      </c>
      <c r="AB8" s="90">
        <f>SUM(AB2:AB7)</f>
        <v>15385</v>
      </c>
      <c r="AC8" s="90">
        <f>SUM(AC2:AC7)</f>
        <v>58818</v>
      </c>
      <c r="AD8" s="90">
        <f>SUM(AD2:AD7)</f>
        <v>29682</v>
      </c>
      <c r="AE8" s="25">
        <f t="shared" si="0"/>
        <v>1</v>
      </c>
      <c r="AF8" s="17"/>
      <c r="AG8" s="26"/>
      <c r="AH8" s="88" t="s">
        <v>105</v>
      </c>
      <c r="AI8" s="275">
        <v>-5264</v>
      </c>
      <c r="AJ8" s="116">
        <v>-5039</v>
      </c>
      <c r="AK8" s="116">
        <f>-4898</f>
        <v>-4898</v>
      </c>
      <c r="AL8" s="25">
        <f t="shared" si="1"/>
        <v>-5.0094212139091376E-2</v>
      </c>
      <c r="AN8" s="17"/>
      <c r="AO8" s="88" t="s">
        <v>92</v>
      </c>
      <c r="AP8" s="44">
        <f>AR2/AR5</f>
        <v>0.74559055658499762</v>
      </c>
      <c r="AQ8" s="44">
        <f>AQ2/AQ5</f>
        <v>0.75125628140703515</v>
      </c>
      <c r="AR8" s="44">
        <f>AP2/AP5</f>
        <v>0.80753113026819923</v>
      </c>
      <c r="BL8" s="89" t="s">
        <v>126</v>
      </c>
      <c r="BM8" s="65">
        <f t="shared" ref="BM8:BN8" si="13">SUM(BM2:BM7)</f>
        <v>2099</v>
      </c>
      <c r="BN8" s="65">
        <f t="shared" si="13"/>
        <v>1613</v>
      </c>
    </row>
    <row r="9" spans="1:66" s="47" customFormat="1" ht="31" customHeight="1">
      <c r="A9" s="312"/>
      <c r="B9" s="23" t="s">
        <v>22</v>
      </c>
      <c r="C9" s="42">
        <v>4934</v>
      </c>
      <c r="D9" s="43">
        <f t="shared" si="2"/>
        <v>7.954627949183303</v>
      </c>
      <c r="E9" s="44">
        <f t="shared" si="3"/>
        <v>3.3837860821737432E-2</v>
      </c>
      <c r="F9" s="49">
        <v>551</v>
      </c>
      <c r="G9" s="43">
        <f t="shared" si="4"/>
        <v>-0.73861480075901331</v>
      </c>
      <c r="H9" s="45">
        <f t="shared" si="5"/>
        <v>3.1479238556639776E-3</v>
      </c>
      <c r="I9" s="42">
        <v>2108</v>
      </c>
      <c r="J9" s="45" t="e">
        <f t="shared" si="6"/>
        <v>#DIV/0!</v>
      </c>
      <c r="K9" s="44">
        <f t="shared" si="7"/>
        <v>1.7842028642042183E-2</v>
      </c>
      <c r="L9" s="50">
        <v>0</v>
      </c>
      <c r="M9" s="43"/>
      <c r="N9" s="44"/>
      <c r="O9" s="50">
        <v>0</v>
      </c>
      <c r="P9" s="44">
        <f t="shared" si="10"/>
        <v>-1</v>
      </c>
      <c r="Q9" s="44">
        <f t="shared" si="11"/>
        <v>0</v>
      </c>
      <c r="R9" s="46">
        <v>2281</v>
      </c>
      <c r="T9" s="54">
        <v>2020</v>
      </c>
      <c r="U9" s="112">
        <f>Q6</f>
        <v>0.5717092113528639</v>
      </c>
      <c r="V9" s="44">
        <f>Q3</f>
        <v>0.19089715036262919</v>
      </c>
      <c r="W9" s="44">
        <f>Q8+Q9</f>
        <v>0.1284678202272857</v>
      </c>
      <c r="X9" s="44">
        <f>Q16</f>
        <v>2.1597852778253671E-2</v>
      </c>
      <c r="Z9" s="63"/>
      <c r="AA9" s="262"/>
      <c r="AB9" s="262"/>
      <c r="AC9" s="262"/>
      <c r="AD9" s="262"/>
      <c r="AE9" s="161"/>
      <c r="AF9" s="161"/>
      <c r="AG9" s="26"/>
      <c r="AH9" s="88" t="s">
        <v>127</v>
      </c>
      <c r="AI9" s="60">
        <f>SUM(AI2:AI8)</f>
        <v>105082</v>
      </c>
      <c r="AJ9" s="60">
        <f>SUM(AJ2:AJ8)</f>
        <v>91163</v>
      </c>
      <c r="AK9" s="60">
        <f>SUM(AK2:AK8)</f>
        <v>63158</v>
      </c>
      <c r="AL9" s="25">
        <f t="shared" si="1"/>
        <v>1</v>
      </c>
      <c r="AN9" s="17"/>
      <c r="AO9" s="88" t="s">
        <v>99</v>
      </c>
      <c r="AP9" s="44">
        <f>AR3/AR5</f>
        <v>0.25818406423718343</v>
      </c>
      <c r="AQ9" s="44">
        <f>AQ3/AQ5</f>
        <v>0.25244974874371862</v>
      </c>
      <c r="AR9" s="44">
        <f>AP3/AP5</f>
        <v>0.19665948275862069</v>
      </c>
    </row>
    <row r="10" spans="1:66" ht="35" customHeight="1">
      <c r="A10" s="32"/>
      <c r="B10" s="19" t="s">
        <v>24</v>
      </c>
      <c r="C10" s="39"/>
      <c r="D10" s="55"/>
      <c r="E10" s="25"/>
      <c r="F10" s="39"/>
      <c r="G10" s="55"/>
      <c r="H10" s="27"/>
      <c r="I10" s="39"/>
      <c r="J10" s="27"/>
      <c r="K10" s="25"/>
      <c r="L10" s="38"/>
      <c r="M10" s="55"/>
      <c r="N10" s="25"/>
      <c r="O10" s="39"/>
      <c r="P10" s="25"/>
      <c r="Q10" s="25"/>
      <c r="R10" s="56"/>
      <c r="T10" s="65">
        <v>2021</v>
      </c>
      <c r="U10" s="113">
        <f>N6</f>
        <v>0.60700265357437466</v>
      </c>
      <c r="V10" s="25">
        <f>N3</f>
        <v>0.14141464335761636</v>
      </c>
      <c r="W10" s="25">
        <f>N8</f>
        <v>0.18337490931136266</v>
      </c>
      <c r="X10" s="25">
        <f>N16</f>
        <v>2.4816386567149344E-2</v>
      </c>
      <c r="AA10" s="36"/>
      <c r="AB10" s="36">
        <v>2022</v>
      </c>
      <c r="AC10" s="36">
        <v>2023</v>
      </c>
      <c r="AD10" s="36">
        <v>2024</v>
      </c>
      <c r="AH10" s="266" t="s">
        <v>117</v>
      </c>
      <c r="AI10" s="267">
        <f>C51/AI9</f>
        <v>7.5426809539216988E-2</v>
      </c>
      <c r="AJ10" s="267">
        <f>D51/AJ9</f>
        <v>0.10154338931364698</v>
      </c>
      <c r="AK10" s="267">
        <f>E51/AK9</f>
        <v>0.12912061813230311</v>
      </c>
      <c r="AL10" s="258"/>
    </row>
    <row r="11" spans="1:66" ht="31" customHeight="1">
      <c r="A11" s="311" t="s">
        <v>128</v>
      </c>
      <c r="B11" s="19" t="s">
        <v>20</v>
      </c>
      <c r="C11" s="38">
        <v>149</v>
      </c>
      <c r="D11" s="55">
        <f t="shared" si="2"/>
        <v>-0.78561151079136693</v>
      </c>
      <c r="E11" s="25">
        <f t="shared" si="3"/>
        <v>1.0218567617427802E-3</v>
      </c>
      <c r="F11" s="38">
        <v>695</v>
      </c>
      <c r="G11" s="55">
        <f t="shared" si="4"/>
        <v>-0.57466340269277849</v>
      </c>
      <c r="H11" s="27">
        <f t="shared" si="5"/>
        <v>3.9706117598665418E-3</v>
      </c>
      <c r="I11" s="22">
        <v>1634</v>
      </c>
      <c r="J11" s="27" t="e">
        <f t="shared" si="6"/>
        <v>#DIV/0!</v>
      </c>
      <c r="K11" s="25">
        <f t="shared" si="7"/>
        <v>1.3830111385719606E-2</v>
      </c>
      <c r="L11" s="39">
        <v>0</v>
      </c>
      <c r="M11" s="55">
        <f t="shared" si="8"/>
        <v>-1</v>
      </c>
      <c r="N11" s="25">
        <f t="shared" si="9"/>
        <v>0</v>
      </c>
      <c r="O11" s="22">
        <v>3972</v>
      </c>
      <c r="P11" s="25">
        <f t="shared" si="10"/>
        <v>-0.46620077946512567</v>
      </c>
      <c r="Q11" s="25">
        <f t="shared" si="11"/>
        <v>4.536577008737365E-2</v>
      </c>
      <c r="R11" s="56">
        <v>7441</v>
      </c>
      <c r="T11" s="65">
        <v>2022</v>
      </c>
      <c r="U11" s="113">
        <f>K6</f>
        <v>0.53456681450384269</v>
      </c>
      <c r="V11" s="25">
        <f>K3</f>
        <v>0.25122727426617464</v>
      </c>
      <c r="W11" s="25">
        <f>K8+K9</f>
        <v>0.14282086874090125</v>
      </c>
      <c r="X11" s="25">
        <f>K16</f>
        <v>2.6162101770660529E-2</v>
      </c>
      <c r="AA11" s="88" t="s">
        <v>14</v>
      </c>
      <c r="AB11" s="90">
        <f>AD4+AD5+AD6+AD7</f>
        <v>24098</v>
      </c>
      <c r="AC11" s="90">
        <f>AC4+AC5+AC6+AC7</f>
        <v>54521</v>
      </c>
      <c r="AD11" s="90">
        <f>AB4+AB5+AB6+AB7</f>
        <v>9096</v>
      </c>
      <c r="AO11" s="111"/>
      <c r="AP11" s="65">
        <v>2022</v>
      </c>
      <c r="AQ11" s="65">
        <v>2023</v>
      </c>
      <c r="AR11" s="65">
        <v>2024</v>
      </c>
    </row>
    <row r="12" spans="1:66" ht="31" customHeight="1">
      <c r="A12" s="312"/>
      <c r="B12" s="19" t="s">
        <v>22</v>
      </c>
      <c r="C12" s="22">
        <v>1491</v>
      </c>
      <c r="D12" s="55">
        <f t="shared" si="2"/>
        <v>0.58112407211028627</v>
      </c>
      <c r="E12" s="25">
        <f t="shared" si="3"/>
        <v>1.0225425716499901E-2</v>
      </c>
      <c r="F12" s="38">
        <v>943</v>
      </c>
      <c r="G12" s="55" t="e">
        <f t="shared" si="4"/>
        <v>#DIV/0!</v>
      </c>
      <c r="H12" s="27">
        <f t="shared" si="5"/>
        <v>5.3874631504376245E-3</v>
      </c>
      <c r="I12" s="39">
        <v>0</v>
      </c>
      <c r="J12" s="27"/>
      <c r="K12" s="25"/>
      <c r="L12" s="39">
        <v>0</v>
      </c>
      <c r="M12" s="55">
        <f t="shared" si="8"/>
        <v>-1</v>
      </c>
      <c r="N12" s="25">
        <f t="shared" si="9"/>
        <v>0</v>
      </c>
      <c r="O12" s="38">
        <v>63</v>
      </c>
      <c r="P12" s="25">
        <f t="shared" si="10"/>
        <v>-0.94106641721234796</v>
      </c>
      <c r="Q12" s="25">
        <f t="shared" si="11"/>
        <v>7.1954771286619843E-4</v>
      </c>
      <c r="R12" s="56">
        <v>1069</v>
      </c>
      <c r="T12" s="65">
        <v>2023</v>
      </c>
      <c r="U12" s="113">
        <f>H6</f>
        <v>0.52082428757512744</v>
      </c>
      <c r="V12" s="25">
        <f>H3</f>
        <v>0.33603373020407229</v>
      </c>
      <c r="W12" s="25">
        <f>H8+H9</f>
        <v>9.2575241664571858E-2</v>
      </c>
      <c r="X12" s="25">
        <f>H16</f>
        <v>1.784775703283896E-2</v>
      </c>
      <c r="AA12" s="264" t="s">
        <v>117</v>
      </c>
      <c r="AB12" s="265">
        <f>E52/AB11</f>
        <v>8.004813677483609E-2</v>
      </c>
      <c r="AC12" s="265">
        <f>D52/AC11</f>
        <v>3.5784376662203556E-2</v>
      </c>
      <c r="AD12" s="265">
        <f>C52/AD11</f>
        <v>0.12895778364116095</v>
      </c>
      <c r="AH12" s="36"/>
      <c r="AI12" s="54">
        <v>2022</v>
      </c>
      <c r="AJ12" s="54">
        <v>2023</v>
      </c>
      <c r="AK12" s="54">
        <v>2024</v>
      </c>
      <c r="AO12" s="88" t="s">
        <v>105</v>
      </c>
      <c r="AP12" s="91">
        <v>70</v>
      </c>
      <c r="AQ12" s="91">
        <v>59</v>
      </c>
      <c r="AR12" s="91">
        <v>55</v>
      </c>
      <c r="AT12" s="17">
        <f>(AR12-AP12)/AP12</f>
        <v>-0.21428571428571427</v>
      </c>
    </row>
    <row r="13" spans="1:66" ht="31" customHeight="1">
      <c r="A13" s="32"/>
      <c r="B13" s="19" t="s">
        <v>129</v>
      </c>
      <c r="C13" s="22"/>
      <c r="D13" s="55"/>
      <c r="E13" s="25"/>
      <c r="F13" s="38"/>
      <c r="G13" s="55"/>
      <c r="H13" s="27"/>
      <c r="I13" s="39"/>
      <c r="J13" s="27"/>
      <c r="K13" s="25"/>
      <c r="L13" s="39"/>
      <c r="M13" s="55"/>
      <c r="N13" s="25"/>
      <c r="O13" s="38"/>
      <c r="P13" s="25"/>
      <c r="Q13" s="25"/>
      <c r="R13" s="56">
        <v>30</v>
      </c>
      <c r="T13" s="65">
        <v>2024</v>
      </c>
      <c r="U13" s="113">
        <f>E6</f>
        <v>0.72066276669432772</v>
      </c>
      <c r="V13" s="25">
        <f>E3</f>
        <v>0.10551185422424612</v>
      </c>
      <c r="W13" s="25">
        <f>E8+E9</f>
        <v>0.10169189304108686</v>
      </c>
      <c r="X13" s="25">
        <f>E16</f>
        <v>2.7137498028296517E-2</v>
      </c>
      <c r="AD13" s="262"/>
      <c r="AH13" s="239" t="s">
        <v>130</v>
      </c>
      <c r="AI13" s="116">
        <f>AK2+AK3</f>
        <v>37822</v>
      </c>
      <c r="AJ13" s="36">
        <v>62620</v>
      </c>
      <c r="AK13" s="116">
        <f>AI2+AI3</f>
        <v>70833</v>
      </c>
      <c r="AL13" s="17">
        <f>(AK13-AI13)/AI13</f>
        <v>0.87279890011104644</v>
      </c>
    </row>
    <row r="14" spans="1:66" ht="31" customHeight="1">
      <c r="A14" s="32"/>
      <c r="B14" s="19" t="s">
        <v>29</v>
      </c>
      <c r="C14" s="39"/>
      <c r="D14" s="55"/>
      <c r="E14" s="25"/>
      <c r="F14" s="39"/>
      <c r="G14" s="55"/>
      <c r="H14" s="27"/>
      <c r="I14" s="39"/>
      <c r="J14" s="27">
        <f t="shared" si="6"/>
        <v>-1</v>
      </c>
      <c r="K14" s="25">
        <f t="shared" si="7"/>
        <v>0</v>
      </c>
      <c r="L14" s="38">
        <v>980</v>
      </c>
      <c r="M14" s="55">
        <f t="shared" si="8"/>
        <v>1.344364012409514E-2</v>
      </c>
      <c r="N14" s="25">
        <f t="shared" si="9"/>
        <v>9.7397111877478414E-3</v>
      </c>
      <c r="O14" s="38">
        <v>967</v>
      </c>
      <c r="P14" s="25">
        <f t="shared" si="10"/>
        <v>-3.1062124248496994E-2</v>
      </c>
      <c r="Q14" s="25">
        <f t="shared" si="11"/>
        <v>1.104448632288276E-2</v>
      </c>
      <c r="R14" s="56">
        <v>998</v>
      </c>
      <c r="AA14" s="273" t="s">
        <v>131</v>
      </c>
      <c r="AB14" s="273"/>
      <c r="AC14" s="273"/>
      <c r="AD14" s="273"/>
      <c r="AH14" s="239" t="s">
        <v>103</v>
      </c>
      <c r="AI14" s="116">
        <f>SUM(AK4:AK7)</f>
        <v>30234</v>
      </c>
      <c r="AJ14" s="36">
        <v>33582</v>
      </c>
      <c r="AK14" s="116">
        <f>SUM(AI4:AI7)</f>
        <v>39513</v>
      </c>
      <c r="AL14" s="17">
        <f>(AK14-AI14)/AI14</f>
        <v>0.30690613216908119</v>
      </c>
      <c r="AO14" s="36"/>
      <c r="AP14" s="54">
        <v>2022</v>
      </c>
      <c r="AQ14" s="54">
        <v>2023</v>
      </c>
      <c r="AR14" s="54">
        <v>2024</v>
      </c>
    </row>
    <row r="15" spans="1:66" ht="34" customHeight="1">
      <c r="A15" s="32"/>
      <c r="B15" s="19" t="s">
        <v>132</v>
      </c>
      <c r="C15" s="39"/>
      <c r="D15" s="55"/>
      <c r="E15" s="25"/>
      <c r="F15" s="39"/>
      <c r="G15" s="55"/>
      <c r="H15" s="27"/>
      <c r="I15" s="39"/>
      <c r="J15" s="27"/>
      <c r="K15" s="25"/>
      <c r="L15" s="38"/>
      <c r="M15" s="55"/>
      <c r="N15" s="25"/>
      <c r="O15" s="38"/>
      <c r="P15" s="25"/>
      <c r="Q15" s="25"/>
      <c r="R15" s="56">
        <v>468</v>
      </c>
      <c r="AA15" s="88"/>
      <c r="AB15" s="260">
        <v>2024</v>
      </c>
      <c r="AC15" s="272">
        <v>2023</v>
      </c>
      <c r="AD15" s="272">
        <v>2022</v>
      </c>
      <c r="AO15" s="230" t="s">
        <v>133</v>
      </c>
      <c r="AP15" s="231">
        <v>10</v>
      </c>
      <c r="AQ15" s="232">
        <v>3004</v>
      </c>
      <c r="AR15" s="232">
        <v>2303</v>
      </c>
    </row>
    <row r="16" spans="1:66" s="47" customFormat="1" ht="37" customHeight="1">
      <c r="A16" s="41"/>
      <c r="B16" s="23" t="s">
        <v>31</v>
      </c>
      <c r="C16" s="42">
        <v>3957</v>
      </c>
      <c r="D16" s="43">
        <f t="shared" si="2"/>
        <v>0.26664532650448142</v>
      </c>
      <c r="E16" s="44">
        <f t="shared" si="3"/>
        <v>2.7137498028296517E-2</v>
      </c>
      <c r="F16" s="42">
        <v>3124</v>
      </c>
      <c r="G16" s="43">
        <f t="shared" si="4"/>
        <v>1.0676156583629894E-2</v>
      </c>
      <c r="H16" s="45">
        <f t="shared" si="5"/>
        <v>1.784775703283896E-2</v>
      </c>
      <c r="I16" s="42">
        <v>3091</v>
      </c>
      <c r="J16" s="45">
        <f t="shared" si="6"/>
        <v>0.23788546255506607</v>
      </c>
      <c r="K16" s="44">
        <f t="shared" si="7"/>
        <v>2.6162101770660529E-2</v>
      </c>
      <c r="L16" s="42">
        <v>2497</v>
      </c>
      <c r="M16" s="43">
        <f t="shared" si="8"/>
        <v>0.3204653622421999</v>
      </c>
      <c r="N16" s="44">
        <f t="shared" si="9"/>
        <v>2.4816386567149344E-2</v>
      </c>
      <c r="O16" s="42">
        <v>1891</v>
      </c>
      <c r="P16" s="44">
        <f t="shared" si="10"/>
        <v>-4.446690247599798E-2</v>
      </c>
      <c r="Q16" s="44">
        <f t="shared" si="11"/>
        <v>2.1597852778253671E-2</v>
      </c>
      <c r="R16" s="46">
        <v>1979</v>
      </c>
      <c r="AA16" s="88" t="s">
        <v>14</v>
      </c>
      <c r="AB16" s="259">
        <v>0.12895778364116095</v>
      </c>
      <c r="AC16" s="259">
        <v>3.5784376662203556E-2</v>
      </c>
      <c r="AD16" s="259">
        <v>8.004813677483609E-2</v>
      </c>
      <c r="AI16" s="226"/>
      <c r="AJ16" s="227"/>
      <c r="AK16" s="227"/>
      <c r="AL16" s="224"/>
      <c r="AM16" s="224"/>
      <c r="AO16" s="230" t="s">
        <v>134</v>
      </c>
      <c r="AP16" s="233">
        <v>2690</v>
      </c>
      <c r="AQ16" s="230">
        <v>521</v>
      </c>
      <c r="AR16" s="230">
        <v>642</v>
      </c>
    </row>
    <row r="17" spans="1:44" ht="45" customHeight="1">
      <c r="A17" s="32"/>
      <c r="B17" s="19" t="s">
        <v>33</v>
      </c>
      <c r="C17" s="39">
        <v>0</v>
      </c>
      <c r="D17" s="55"/>
      <c r="E17" s="25"/>
      <c r="F17" s="38">
        <v>0</v>
      </c>
      <c r="G17" s="55">
        <f t="shared" si="4"/>
        <v>-1</v>
      </c>
      <c r="H17" s="27">
        <f t="shared" si="5"/>
        <v>0</v>
      </c>
      <c r="I17" s="38">
        <v>44</v>
      </c>
      <c r="J17" s="27">
        <f t="shared" si="6"/>
        <v>5.2857142857142856</v>
      </c>
      <c r="K17" s="25">
        <f t="shared" si="7"/>
        <v>3.7241426008057692E-4</v>
      </c>
      <c r="L17" s="39">
        <v>7</v>
      </c>
      <c r="M17" s="55" t="e">
        <f t="shared" si="8"/>
        <v>#DIV/0!</v>
      </c>
      <c r="N17" s="25">
        <f t="shared" si="9"/>
        <v>6.9569365626770286E-5</v>
      </c>
      <c r="O17" s="38">
        <v>0</v>
      </c>
      <c r="P17" s="25">
        <f>(O17-R18)/R18</f>
        <v>-1</v>
      </c>
      <c r="Q17" s="25">
        <f t="shared" si="11"/>
        <v>0</v>
      </c>
      <c r="R17" s="56"/>
      <c r="AA17" s="88" t="s">
        <v>16</v>
      </c>
      <c r="AB17" s="259">
        <v>7.5426809539216988E-2</v>
      </c>
      <c r="AC17" s="259">
        <v>0.10154338931364698</v>
      </c>
      <c r="AD17" s="259">
        <v>0.12912061813230311</v>
      </c>
      <c r="AI17" s="226"/>
      <c r="AJ17" s="227"/>
      <c r="AK17" s="227"/>
      <c r="AL17" s="224"/>
      <c r="AM17" s="224"/>
      <c r="AO17" s="230" t="s">
        <v>135</v>
      </c>
      <c r="AP17" s="231">
        <v>414</v>
      </c>
      <c r="AQ17" s="230">
        <v>494</v>
      </c>
      <c r="AR17" s="230">
        <v>817</v>
      </c>
    </row>
    <row r="18" spans="1:44" ht="47" customHeight="1">
      <c r="A18" s="32"/>
      <c r="B18" s="19" t="s">
        <v>35</v>
      </c>
      <c r="C18" s="22">
        <v>1540</v>
      </c>
      <c r="D18" s="55">
        <f t="shared" si="2"/>
        <v>-7.7319587628865982E-3</v>
      </c>
      <c r="E18" s="25">
        <f t="shared" si="3"/>
        <v>1.0561472571032762E-2</v>
      </c>
      <c r="F18" s="22">
        <v>1552</v>
      </c>
      <c r="G18" s="55">
        <f t="shared" si="4"/>
        <v>3.1914893617021274E-2</v>
      </c>
      <c r="H18" s="27">
        <f t="shared" si="5"/>
        <v>8.8667474119609683E-3</v>
      </c>
      <c r="I18" s="22">
        <v>1504</v>
      </c>
      <c r="J18" s="27">
        <f t="shared" si="6"/>
        <v>7.0462633451957302E-2</v>
      </c>
      <c r="K18" s="25">
        <f t="shared" si="7"/>
        <v>1.2729796526390629E-2</v>
      </c>
      <c r="L18" s="22">
        <v>1405</v>
      </c>
      <c r="M18" s="55">
        <f t="shared" si="8"/>
        <v>9.3385214007782102E-2</v>
      </c>
      <c r="N18" s="25">
        <f t="shared" si="9"/>
        <v>1.396356552937318E-2</v>
      </c>
      <c r="O18" s="22">
        <v>1285</v>
      </c>
      <c r="P18" s="25" t="e">
        <f>(O18-#REF!)/#REF!</f>
        <v>#REF!</v>
      </c>
      <c r="Q18" s="25">
        <f t="shared" si="11"/>
        <v>1.4676489064016904E-2</v>
      </c>
      <c r="R18" s="56">
        <v>1283</v>
      </c>
      <c r="AA18" s="88" t="s">
        <v>136</v>
      </c>
      <c r="AB18" s="259">
        <v>9.2432950191570884E-2</v>
      </c>
      <c r="AC18" s="259">
        <v>8.3165829145728648E-2</v>
      </c>
      <c r="AD18" s="259">
        <v>8.3522064374442387E-2</v>
      </c>
      <c r="AI18" s="226"/>
      <c r="AJ18" s="227"/>
      <c r="AK18" s="227"/>
      <c r="AL18" s="224"/>
      <c r="AM18" s="224"/>
    </row>
    <row r="19" spans="1:44" ht="31" customHeight="1">
      <c r="A19" s="32" t="s">
        <v>137</v>
      </c>
      <c r="B19" s="19" t="s">
        <v>37</v>
      </c>
      <c r="C19" s="38">
        <v>366</v>
      </c>
      <c r="D19" s="55">
        <f t="shared" si="2"/>
        <v>-3.937007874015748E-2</v>
      </c>
      <c r="E19" s="25">
        <f t="shared" si="3"/>
        <v>2.5100642603883058E-3</v>
      </c>
      <c r="F19" s="38">
        <v>381</v>
      </c>
      <c r="G19" s="55">
        <f t="shared" si="4"/>
        <v>-0.13211845102505695</v>
      </c>
      <c r="H19" s="27">
        <f t="shared" si="5"/>
        <v>2.1766950798692841E-3</v>
      </c>
      <c r="I19" s="38">
        <v>439</v>
      </c>
      <c r="J19" s="27">
        <f t="shared" si="6"/>
        <v>4.3536585365853657</v>
      </c>
      <c r="K19" s="25">
        <f t="shared" si="7"/>
        <v>3.7156786403493925E-3</v>
      </c>
      <c r="L19" s="38">
        <v>82</v>
      </c>
      <c r="M19" s="55">
        <f t="shared" si="8"/>
        <v>7.8947368421052627E-2</v>
      </c>
      <c r="N19" s="25">
        <f t="shared" si="9"/>
        <v>8.1495542591359489E-4</v>
      </c>
      <c r="O19" s="38">
        <v>76</v>
      </c>
      <c r="P19" s="25">
        <f t="shared" si="10"/>
        <v>4.1095890410958902E-2</v>
      </c>
      <c r="Q19" s="25">
        <f t="shared" si="11"/>
        <v>8.6802581234652503E-4</v>
      </c>
      <c r="R19" s="56">
        <v>73</v>
      </c>
      <c r="AA19" s="88" t="s">
        <v>138</v>
      </c>
      <c r="AB19" s="259">
        <v>0</v>
      </c>
      <c r="AC19" s="259">
        <v>9.8290598290598288E-2</v>
      </c>
      <c r="AD19" s="259">
        <v>0.20685434516523868</v>
      </c>
      <c r="AI19" s="226"/>
      <c r="AJ19" s="228"/>
      <c r="AK19" s="228"/>
      <c r="AL19" s="225"/>
      <c r="AM19" s="225"/>
    </row>
    <row r="20" spans="1:44" ht="31" customHeight="1">
      <c r="A20" s="32" t="s">
        <v>139</v>
      </c>
      <c r="B20" s="19" t="s">
        <v>39</v>
      </c>
      <c r="C20" s="22">
        <v>2099</v>
      </c>
      <c r="D20" s="55">
        <f t="shared" si="2"/>
        <v>0.30130192188468691</v>
      </c>
      <c r="E20" s="25">
        <f t="shared" si="3"/>
        <v>1.4395149952336211E-2</v>
      </c>
      <c r="F20" s="22">
        <v>1613</v>
      </c>
      <c r="G20" s="55">
        <f t="shared" si="4"/>
        <v>0.11164713990351481</v>
      </c>
      <c r="H20" s="27">
        <f t="shared" si="5"/>
        <v>9.2152471491578868E-3</v>
      </c>
      <c r="I20" s="22">
        <v>1451</v>
      </c>
      <c r="J20" s="27">
        <f t="shared" si="6"/>
        <v>0.21932773109243697</v>
      </c>
      <c r="K20" s="25">
        <f t="shared" si="7"/>
        <v>1.228120662220266E-2</v>
      </c>
      <c r="L20" s="22">
        <v>1190</v>
      </c>
      <c r="M20" s="55">
        <f t="shared" si="8"/>
        <v>0.70243204577968521</v>
      </c>
      <c r="N20" s="25">
        <f t="shared" si="9"/>
        <v>1.182679215655095E-2</v>
      </c>
      <c r="O20" s="38">
        <v>699</v>
      </c>
      <c r="P20" s="25">
        <f>(O20-R20)/R20</f>
        <v>-0.18341121495327103</v>
      </c>
      <c r="Q20" s="25">
        <f t="shared" si="11"/>
        <v>7.9835531951344876E-3</v>
      </c>
      <c r="R20" s="56">
        <v>856</v>
      </c>
    </row>
    <row r="21" spans="1:44" ht="31" customHeight="1">
      <c r="A21" s="36"/>
      <c r="B21" s="21" t="s">
        <v>42</v>
      </c>
      <c r="C21" s="22">
        <v>145813</v>
      </c>
      <c r="D21" s="55">
        <f t="shared" si="2"/>
        <v>-0.16695422655910785</v>
      </c>
      <c r="E21" s="25">
        <f t="shared" si="3"/>
        <v>1</v>
      </c>
      <c r="F21" s="22">
        <v>175036</v>
      </c>
      <c r="G21" s="55">
        <f t="shared" si="4"/>
        <v>0.48149778244236041</v>
      </c>
      <c r="H21" s="27">
        <f t="shared" si="5"/>
        <v>1</v>
      </c>
      <c r="I21" s="22">
        <v>118148</v>
      </c>
      <c r="J21" s="27">
        <f t="shared" si="6"/>
        <v>0.17421163001023662</v>
      </c>
      <c r="K21" s="25">
        <f t="shared" si="7"/>
        <v>1</v>
      </c>
      <c r="L21" s="22">
        <v>100619</v>
      </c>
      <c r="M21" s="55">
        <f t="shared" si="8"/>
        <v>0.14920906858546057</v>
      </c>
      <c r="N21" s="25">
        <f t="shared" si="9"/>
        <v>1</v>
      </c>
      <c r="O21" s="22">
        <v>87555</v>
      </c>
      <c r="P21" s="25">
        <f>(O21-R21)/R21</f>
        <v>-0.15825449930779881</v>
      </c>
      <c r="Q21" s="25">
        <f t="shared" si="11"/>
        <v>1</v>
      </c>
      <c r="R21" s="56">
        <v>104016</v>
      </c>
      <c r="AJ21" s="226"/>
      <c r="AK21" s="226"/>
      <c r="AL21" s="226"/>
      <c r="AM21" s="226"/>
      <c r="AN21" s="226"/>
      <c r="AO21" s="226"/>
    </row>
    <row r="22" spans="1:44" ht="31" customHeight="1">
      <c r="AJ22" s="223"/>
      <c r="AK22" s="223"/>
      <c r="AL22" s="223"/>
      <c r="AM22" s="223"/>
      <c r="AN22" s="223"/>
    </row>
    <row r="23" spans="1:44" ht="34">
      <c r="A23" s="28" t="s">
        <v>75</v>
      </c>
      <c r="B23" s="28" t="s">
        <v>76</v>
      </c>
      <c r="C23" s="29">
        <v>45474</v>
      </c>
      <c r="D23" s="29" t="s">
        <v>77</v>
      </c>
      <c r="E23" s="29">
        <v>45291</v>
      </c>
      <c r="F23" s="29" t="s">
        <v>77</v>
      </c>
      <c r="G23" s="30">
        <v>44926</v>
      </c>
      <c r="H23" s="29" t="s">
        <v>77</v>
      </c>
      <c r="I23" s="30">
        <v>44561</v>
      </c>
      <c r="J23" s="29" t="s">
        <v>77</v>
      </c>
      <c r="K23" s="30">
        <v>44196</v>
      </c>
      <c r="L23" s="29" t="s">
        <v>77</v>
      </c>
      <c r="M23" s="30">
        <v>43830</v>
      </c>
      <c r="N23" s="24"/>
      <c r="P23">
        <f>(C21-R21)/R21</f>
        <v>0.40183241039840023</v>
      </c>
      <c r="Q23" s="24">
        <f>(C21-F21)/F21</f>
        <v>-0.16695422655910785</v>
      </c>
      <c r="AN23" s="223"/>
    </row>
    <row r="24" spans="1:44" ht="119">
      <c r="A24" s="240" t="s">
        <v>96</v>
      </c>
      <c r="B24" s="20" t="s">
        <v>9</v>
      </c>
      <c r="C24" s="39">
        <v>10316</v>
      </c>
      <c r="D24" s="25">
        <f t="shared" ref="D24:D32" si="14">(C24-E24)/E24</f>
        <v>-0.18726857322933901</v>
      </c>
      <c r="E24" s="22">
        <v>12693</v>
      </c>
      <c r="F24" s="25">
        <f>(E24-G24)/G24</f>
        <v>6.0755473842553906E-2</v>
      </c>
      <c r="G24" s="22">
        <v>11966</v>
      </c>
      <c r="H24" s="25">
        <f>(G24-I24)/I24</f>
        <v>0.61419128557938751</v>
      </c>
      <c r="I24" s="22">
        <v>7413</v>
      </c>
      <c r="J24" s="25">
        <f>(I24-K24)/K24</f>
        <v>-1.2916111850865513E-2</v>
      </c>
      <c r="K24" s="51">
        <v>7510</v>
      </c>
      <c r="L24" s="60">
        <f>(K24-M24)/M24</f>
        <v>-0.19273352681930561</v>
      </c>
      <c r="M24" s="37">
        <v>9303</v>
      </c>
      <c r="T24" s="36"/>
      <c r="U24" s="110" t="s">
        <v>16</v>
      </c>
      <c r="V24" s="110" t="s">
        <v>10</v>
      </c>
      <c r="W24" s="110" t="s">
        <v>124</v>
      </c>
      <c r="X24" s="110" t="s">
        <v>31</v>
      </c>
    </row>
    <row r="25" spans="1:44" ht="17">
      <c r="A25" s="59"/>
      <c r="B25" s="19" t="s">
        <v>11</v>
      </c>
      <c r="C25" s="39">
        <v>77</v>
      </c>
      <c r="D25" s="25">
        <f t="shared" si="14"/>
        <v>-0.26666666666666666</v>
      </c>
      <c r="E25" s="38">
        <v>105</v>
      </c>
      <c r="F25" s="25">
        <f t="shared" ref="F25:F45" si="15">(E25-G25)/G25</f>
        <v>-0.14634146341463414</v>
      </c>
      <c r="G25" s="38">
        <v>123</v>
      </c>
      <c r="H25" s="25">
        <f t="shared" ref="H25:H45" si="16">(G25-I25)/I25</f>
        <v>-0.16326530612244897</v>
      </c>
      <c r="I25" s="38">
        <v>147</v>
      </c>
      <c r="J25" s="25">
        <f t="shared" ref="J25:J45" si="17">(I25-K25)/K25</f>
        <v>0.3125</v>
      </c>
      <c r="K25" s="51">
        <v>112</v>
      </c>
      <c r="L25" s="60" t="e">
        <f t="shared" ref="L25:L45" si="18">(K25-M25)/M25</f>
        <v>#DIV/0!</v>
      </c>
      <c r="M25" s="37"/>
      <c r="T25" s="54">
        <v>2020</v>
      </c>
      <c r="U25" s="114">
        <f>O6</f>
        <v>50056</v>
      </c>
      <c r="V25" s="116">
        <f>O3</f>
        <v>16714</v>
      </c>
      <c r="W25" s="116">
        <f>O8</f>
        <v>11248</v>
      </c>
      <c r="X25" s="116">
        <f>O16</f>
        <v>1891</v>
      </c>
    </row>
    <row r="26" spans="1:44" ht="34">
      <c r="A26" s="59"/>
      <c r="B26" s="19" t="s">
        <v>13</v>
      </c>
      <c r="C26" s="39">
        <v>-6082</v>
      </c>
      <c r="D26" s="25">
        <f t="shared" si="14"/>
        <v>-5.4709356543363383E-2</v>
      </c>
      <c r="E26" s="22">
        <v>-6434</v>
      </c>
      <c r="F26" s="25">
        <f t="shared" si="15"/>
        <v>2.6156299840510367E-2</v>
      </c>
      <c r="G26" s="22">
        <v>-6270</v>
      </c>
      <c r="H26" s="25">
        <f t="shared" si="16"/>
        <v>1.1118221623442237</v>
      </c>
      <c r="I26" s="22">
        <v>-2969</v>
      </c>
      <c r="J26" s="25">
        <f t="shared" si="17"/>
        <v>-0.23479381443298969</v>
      </c>
      <c r="K26" s="52">
        <v>-3880</v>
      </c>
      <c r="L26" s="60">
        <f t="shared" si="18"/>
        <v>-0.22724556861183032</v>
      </c>
      <c r="M26" s="37">
        <v>-5021</v>
      </c>
      <c r="T26" s="65">
        <v>2021</v>
      </c>
      <c r="U26" s="115">
        <f>L6</f>
        <v>61076</v>
      </c>
      <c r="V26" s="116">
        <f>L3</f>
        <v>14229</v>
      </c>
      <c r="W26" s="116">
        <f>L8</f>
        <v>18451</v>
      </c>
      <c r="X26" s="116">
        <f>L16</f>
        <v>2497</v>
      </c>
      <c r="AA26" s="69"/>
    </row>
    <row r="27" spans="1:44" ht="17">
      <c r="A27" s="59"/>
      <c r="B27" s="19" t="s">
        <v>15</v>
      </c>
      <c r="C27" s="39">
        <v>-24</v>
      </c>
      <c r="D27" s="25">
        <f t="shared" si="14"/>
        <v>-0.52</v>
      </c>
      <c r="E27" s="38">
        <v>-50</v>
      </c>
      <c r="F27" s="25">
        <f t="shared" si="15"/>
        <v>-0.10714285714285714</v>
      </c>
      <c r="G27" s="38">
        <v>-56</v>
      </c>
      <c r="H27" s="25" t="e">
        <f t="shared" si="16"/>
        <v>#DIV/0!</v>
      </c>
      <c r="I27" s="39">
        <v>0</v>
      </c>
      <c r="J27" s="25" t="e">
        <f t="shared" si="17"/>
        <v>#DIV/0!</v>
      </c>
      <c r="K27" s="52">
        <v>0</v>
      </c>
      <c r="L27" s="60" t="e">
        <f t="shared" si="18"/>
        <v>#DIV/0!</v>
      </c>
      <c r="M27" s="37"/>
      <c r="T27" s="65">
        <v>2022</v>
      </c>
      <c r="U27" s="115">
        <f>I6</f>
        <v>63158</v>
      </c>
      <c r="V27" s="116">
        <f>I3</f>
        <v>29682</v>
      </c>
      <c r="W27" s="116">
        <f>I8+I9</f>
        <v>16874</v>
      </c>
      <c r="X27" s="116">
        <f>I16</f>
        <v>3091</v>
      </c>
    </row>
    <row r="28" spans="1:44" ht="17">
      <c r="A28" s="59"/>
      <c r="B28" s="19" t="s">
        <v>17</v>
      </c>
      <c r="C28" s="39">
        <v>4287</v>
      </c>
      <c r="D28" s="25">
        <f t="shared" si="14"/>
        <v>-0.32103262591067472</v>
      </c>
      <c r="E28" s="22">
        <v>6314</v>
      </c>
      <c r="F28" s="25">
        <f t="shared" si="15"/>
        <v>9.5609925386083636E-2</v>
      </c>
      <c r="G28" s="22">
        <v>5763</v>
      </c>
      <c r="H28" s="25">
        <f t="shared" si="16"/>
        <v>0.25528207362230448</v>
      </c>
      <c r="I28" s="22">
        <v>4591</v>
      </c>
      <c r="J28" s="25">
        <f t="shared" si="17"/>
        <v>0.22688401924104756</v>
      </c>
      <c r="K28" s="52">
        <v>3742</v>
      </c>
      <c r="L28" s="60">
        <f t="shared" si="18"/>
        <v>-0.12610929472209248</v>
      </c>
      <c r="M28" s="37">
        <v>4282</v>
      </c>
      <c r="T28" s="65">
        <v>2023</v>
      </c>
      <c r="U28" s="115">
        <f>F6</f>
        <v>91163</v>
      </c>
      <c r="V28" s="116">
        <f>F3</f>
        <v>58818</v>
      </c>
      <c r="W28" s="116">
        <f>F8+F9</f>
        <v>16204</v>
      </c>
      <c r="X28" s="116">
        <f>F16</f>
        <v>3124</v>
      </c>
    </row>
    <row r="29" spans="1:44" ht="17">
      <c r="A29" s="59"/>
      <c r="B29" s="19" t="s">
        <v>19</v>
      </c>
      <c r="C29" s="39">
        <v>-313</v>
      </c>
      <c r="D29" s="25">
        <f t="shared" si="14"/>
        <v>-0.61358024691358026</v>
      </c>
      <c r="E29" s="38">
        <v>-810</v>
      </c>
      <c r="F29" s="25">
        <f t="shared" si="15"/>
        <v>-0.23149905123339659</v>
      </c>
      <c r="G29" s="22">
        <v>-1054</v>
      </c>
      <c r="H29" s="25">
        <f t="shared" si="16"/>
        <v>4.5473684210526315</v>
      </c>
      <c r="I29" s="38">
        <v>-190</v>
      </c>
      <c r="J29" s="25">
        <f t="shared" si="17"/>
        <v>-0.7821100917431193</v>
      </c>
      <c r="K29" s="52">
        <v>-872</v>
      </c>
      <c r="L29" s="60">
        <f t="shared" si="18"/>
        <v>-63.285714285714285</v>
      </c>
      <c r="M29" s="37">
        <v>14</v>
      </c>
      <c r="T29" s="65">
        <v>2024</v>
      </c>
      <c r="U29" s="115">
        <f>C6</f>
        <v>105082</v>
      </c>
      <c r="V29" s="116">
        <f>C3</f>
        <v>15385</v>
      </c>
      <c r="W29" s="116">
        <f>C8+C9</f>
        <v>14828</v>
      </c>
      <c r="X29" s="116">
        <f>C16</f>
        <v>3957</v>
      </c>
      <c r="AH29" s="89"/>
      <c r="AI29" s="65">
        <v>2022</v>
      </c>
      <c r="AJ29" s="65">
        <v>2023</v>
      </c>
      <c r="AK29" s="65">
        <v>2024</v>
      </c>
    </row>
    <row r="30" spans="1:44" ht="34">
      <c r="A30" s="59"/>
      <c r="B30" s="19" t="s">
        <v>21</v>
      </c>
      <c r="C30" s="39">
        <v>3974</v>
      </c>
      <c r="D30" s="25">
        <f t="shared" si="14"/>
        <v>-0.27797965116279072</v>
      </c>
      <c r="E30" s="22">
        <v>5504</v>
      </c>
      <c r="F30" s="25">
        <f t="shared" si="15"/>
        <v>0.16882565300488425</v>
      </c>
      <c r="G30" s="22">
        <v>4709</v>
      </c>
      <c r="H30" s="25">
        <f t="shared" si="16"/>
        <v>6.9984094523971821E-2</v>
      </c>
      <c r="I30" s="38">
        <v>4401</v>
      </c>
      <c r="J30" s="25">
        <f t="shared" si="17"/>
        <v>0.53344947735191639</v>
      </c>
      <c r="K30" s="52">
        <v>2870</v>
      </c>
      <c r="L30" s="60">
        <f t="shared" si="18"/>
        <v>-0.33193668528864062</v>
      </c>
      <c r="M30" s="37">
        <v>4296</v>
      </c>
      <c r="AH30" s="88" t="s">
        <v>105</v>
      </c>
      <c r="AI30" s="90">
        <v>4898</v>
      </c>
      <c r="AJ30" s="90">
        <v>5039</v>
      </c>
      <c r="AK30" s="92">
        <v>5264</v>
      </c>
    </row>
    <row r="31" spans="1:44" ht="17">
      <c r="A31" s="240" t="s">
        <v>114</v>
      </c>
      <c r="B31" s="20" t="s">
        <v>23</v>
      </c>
      <c r="C31" s="39">
        <v>641</v>
      </c>
      <c r="D31" s="25">
        <f t="shared" si="14"/>
        <v>-0.34658511722731905</v>
      </c>
      <c r="E31" s="38">
        <v>981</v>
      </c>
      <c r="F31" s="25">
        <f t="shared" si="15"/>
        <v>0.37202797202797205</v>
      </c>
      <c r="G31" s="38">
        <v>715</v>
      </c>
      <c r="H31" s="25">
        <f t="shared" si="16"/>
        <v>0.396484375</v>
      </c>
      <c r="I31" s="38">
        <v>512</v>
      </c>
      <c r="J31" s="25">
        <f t="shared" si="17"/>
        <v>0.29620253164556964</v>
      </c>
      <c r="K31" s="51">
        <v>395</v>
      </c>
      <c r="L31" s="60">
        <f t="shared" si="18"/>
        <v>-5.0480769230769232E-2</v>
      </c>
      <c r="M31" s="37">
        <v>416</v>
      </c>
    </row>
    <row r="32" spans="1:44" ht="17">
      <c r="A32" s="59"/>
      <c r="B32" s="19" t="s">
        <v>25</v>
      </c>
      <c r="C32" s="39">
        <v>-124</v>
      </c>
      <c r="D32" s="25">
        <f t="shared" si="14"/>
        <v>-0.35751295336787564</v>
      </c>
      <c r="E32" s="38">
        <v>-193</v>
      </c>
      <c r="F32" s="25">
        <f t="shared" si="15"/>
        <v>1.5789473684210527E-2</v>
      </c>
      <c r="G32" s="38">
        <v>-190</v>
      </c>
      <c r="H32" s="25">
        <f t="shared" si="16"/>
        <v>-0.19831223628691982</v>
      </c>
      <c r="I32" s="38">
        <v>-237</v>
      </c>
      <c r="J32" s="25">
        <f t="shared" si="17"/>
        <v>0.17910447761194029</v>
      </c>
      <c r="K32" s="52">
        <v>-201</v>
      </c>
      <c r="L32" s="60">
        <f t="shared" si="18"/>
        <v>-3.8277511961722487E-2</v>
      </c>
      <c r="M32" s="37">
        <v>-209</v>
      </c>
    </row>
    <row r="33" spans="1:36" ht="17">
      <c r="A33" s="59"/>
      <c r="B33" s="19" t="s">
        <v>26</v>
      </c>
      <c r="C33" s="39"/>
      <c r="D33" s="25"/>
      <c r="E33" s="37"/>
      <c r="F33" s="25"/>
      <c r="G33" s="37"/>
      <c r="H33" s="25"/>
      <c r="I33" s="37"/>
      <c r="J33" s="25">
        <f t="shared" si="17"/>
        <v>-1</v>
      </c>
      <c r="K33" s="52">
        <v>191</v>
      </c>
      <c r="L33" s="60">
        <f t="shared" si="18"/>
        <v>-0.1940928270042194</v>
      </c>
      <c r="M33" s="37">
        <v>237</v>
      </c>
      <c r="T33" s="36"/>
      <c r="U33" s="36">
        <v>2022</v>
      </c>
      <c r="V33" s="36">
        <v>2023</v>
      </c>
      <c r="W33" s="36">
        <v>2024</v>
      </c>
    </row>
    <row r="34" spans="1:36" ht="51">
      <c r="A34" s="59"/>
      <c r="B34" s="19" t="s">
        <v>28</v>
      </c>
      <c r="C34" s="39"/>
      <c r="D34" s="25"/>
      <c r="E34" s="37"/>
      <c r="F34" s="25"/>
      <c r="G34" s="37"/>
      <c r="H34" s="25"/>
      <c r="I34" s="37"/>
      <c r="J34" s="25">
        <f t="shared" si="17"/>
        <v>-1</v>
      </c>
      <c r="K34" s="52">
        <v>-43</v>
      </c>
      <c r="L34" s="60">
        <f t="shared" si="18"/>
        <v>-0.78500000000000003</v>
      </c>
      <c r="M34" s="37">
        <v>-200</v>
      </c>
      <c r="T34" s="54" t="s">
        <v>68</v>
      </c>
      <c r="U34" s="25">
        <f>G45/I21</f>
        <v>3.6648948776111319E-3</v>
      </c>
      <c r="V34" s="25">
        <f>E45/F21</f>
        <v>1.8510477844557692E-3</v>
      </c>
      <c r="W34" s="25">
        <f>C45/C21</f>
        <v>4.0257041553222279E-3</v>
      </c>
    </row>
    <row r="35" spans="1:36" ht="57" customHeight="1">
      <c r="A35" s="59"/>
      <c r="B35" s="19" t="s">
        <v>30</v>
      </c>
      <c r="C35" s="39"/>
      <c r="D35" s="25"/>
      <c r="E35" s="37"/>
      <c r="F35" s="25"/>
      <c r="G35" s="37"/>
      <c r="H35" s="25"/>
      <c r="I35" s="37"/>
      <c r="J35" s="25">
        <f t="shared" si="17"/>
        <v>-1</v>
      </c>
      <c r="K35" s="52">
        <v>-49</v>
      </c>
      <c r="L35" s="60">
        <f t="shared" si="18"/>
        <v>-5.083333333333333</v>
      </c>
      <c r="M35" s="37">
        <v>12</v>
      </c>
      <c r="S35" s="223"/>
      <c r="T35" s="239" t="s">
        <v>140</v>
      </c>
      <c r="U35" s="25">
        <f>(I6+I8+I9+I11+I12)/I21</f>
        <v>0.69121779463046351</v>
      </c>
      <c r="V35" s="25">
        <f>(F6+F8+F9+F11+F12)/F21</f>
        <v>0.62275760415000347</v>
      </c>
      <c r="W35" s="25">
        <f>(C6+C8+C9+C11+C12)/C21</f>
        <v>0.83360194221365724</v>
      </c>
      <c r="AJ35" s="223"/>
    </row>
    <row r="36" spans="1:36" ht="34">
      <c r="A36" s="59"/>
      <c r="B36" s="19" t="s">
        <v>32</v>
      </c>
      <c r="C36" s="39"/>
      <c r="D36" s="25"/>
      <c r="E36" s="37"/>
      <c r="F36" s="25"/>
      <c r="G36" s="37"/>
      <c r="H36" s="25"/>
      <c r="I36" s="37"/>
      <c r="J36" s="25">
        <f t="shared" si="17"/>
        <v>-1</v>
      </c>
      <c r="K36" s="52">
        <v>-4</v>
      </c>
      <c r="L36" s="60">
        <f t="shared" si="18"/>
        <v>-0.81818181818181823</v>
      </c>
      <c r="M36" s="37">
        <v>-22</v>
      </c>
      <c r="T36" s="54" t="s">
        <v>141</v>
      </c>
      <c r="U36" s="116">
        <f>U35*U37</f>
        <v>81666</v>
      </c>
      <c r="V36" s="116">
        <f>V35*V37</f>
        <v>109005.00000000001</v>
      </c>
      <c r="W36" s="116">
        <f>W35*W37</f>
        <v>121550</v>
      </c>
    </row>
    <row r="37" spans="1:36" ht="17">
      <c r="A37" s="59"/>
      <c r="B37" s="19" t="s">
        <v>34</v>
      </c>
      <c r="C37" s="39"/>
      <c r="D37" s="25"/>
      <c r="E37" s="37"/>
      <c r="F37" s="25"/>
      <c r="G37" s="37"/>
      <c r="H37" s="25"/>
      <c r="I37" s="37"/>
      <c r="J37" s="25">
        <f t="shared" si="17"/>
        <v>-1</v>
      </c>
      <c r="K37" s="52">
        <v>115</v>
      </c>
      <c r="L37" s="60">
        <f t="shared" si="18"/>
        <v>0.98275862068965514</v>
      </c>
      <c r="M37" s="37">
        <v>58</v>
      </c>
      <c r="T37" s="54" t="s">
        <v>142</v>
      </c>
      <c r="U37" s="116">
        <f>I21</f>
        <v>118148</v>
      </c>
      <c r="V37" s="116">
        <f>F21</f>
        <v>175036</v>
      </c>
      <c r="W37" s="116">
        <f>C21</f>
        <v>145813</v>
      </c>
      <c r="X37" s="223">
        <f>V37-W37</f>
        <v>29223</v>
      </c>
    </row>
    <row r="38" spans="1:36" ht="34">
      <c r="A38" s="59"/>
      <c r="B38" s="19" t="s">
        <v>36</v>
      </c>
      <c r="C38" s="39">
        <v>277</v>
      </c>
      <c r="D38" s="25">
        <f>(C38-E38)/E38</f>
        <v>-0.57838660578386603</v>
      </c>
      <c r="E38" s="38">
        <v>657</v>
      </c>
      <c r="F38" s="25">
        <f t="shared" si="15"/>
        <v>-0.15444015444015444</v>
      </c>
      <c r="G38" s="38">
        <v>777</v>
      </c>
      <c r="H38" s="25">
        <f t="shared" si="16"/>
        <v>5.166666666666667</v>
      </c>
      <c r="I38" s="38">
        <v>126</v>
      </c>
      <c r="J38" s="25" t="e">
        <f t="shared" si="17"/>
        <v>#DIV/0!</v>
      </c>
      <c r="K38" s="52"/>
      <c r="L38" s="60" t="e">
        <f t="shared" si="18"/>
        <v>#DIV/0!</v>
      </c>
      <c r="M38" s="37"/>
      <c r="T38" s="54" t="s">
        <v>143</v>
      </c>
      <c r="U38" s="116">
        <f>U37-U36</f>
        <v>36482</v>
      </c>
      <c r="V38" s="116">
        <f t="shared" ref="V38:W38" si="19">V37-V36</f>
        <v>66030.999999999985</v>
      </c>
      <c r="W38" s="116">
        <f t="shared" si="19"/>
        <v>24263</v>
      </c>
    </row>
    <row r="39" spans="1:36" ht="24" customHeight="1">
      <c r="A39" s="59"/>
      <c r="B39" s="19" t="s">
        <v>38</v>
      </c>
      <c r="C39" s="39">
        <v>0</v>
      </c>
      <c r="D39" s="25">
        <v>0</v>
      </c>
      <c r="E39" s="37">
        <v>0</v>
      </c>
      <c r="F39" s="25">
        <v>0</v>
      </c>
      <c r="G39" s="37">
        <v>0</v>
      </c>
      <c r="H39" s="25">
        <v>0</v>
      </c>
      <c r="I39" s="37">
        <v>0</v>
      </c>
      <c r="J39" s="25">
        <f t="shared" si="17"/>
        <v>-1</v>
      </c>
      <c r="K39" s="52">
        <v>413</v>
      </c>
      <c r="L39" s="60">
        <f t="shared" si="18"/>
        <v>-8.2222222222222224E-2</v>
      </c>
      <c r="M39" s="37">
        <v>450</v>
      </c>
      <c r="T39" s="279" t="s">
        <v>117</v>
      </c>
      <c r="U39" s="280">
        <f>G24/U36</f>
        <v>0.14652364509098034</v>
      </c>
      <c r="V39" s="280">
        <f>E24/V36</f>
        <v>0.11644419980734827</v>
      </c>
      <c r="W39" s="280">
        <f>C24/W36</f>
        <v>8.4870423693953104E-2</v>
      </c>
    </row>
    <row r="40" spans="1:36" ht="17">
      <c r="A40" s="59"/>
      <c r="B40" s="19" t="s">
        <v>41</v>
      </c>
      <c r="C40" s="39">
        <v>-205</v>
      </c>
      <c r="D40" s="25">
        <f t="shared" ref="D40:D45" si="20">(C40-E40)/E40</f>
        <v>-0.6189591078066915</v>
      </c>
      <c r="E40" s="38">
        <v>-538</v>
      </c>
      <c r="F40" s="25">
        <f t="shared" si="15"/>
        <v>-9.274873524451939E-2</v>
      </c>
      <c r="G40" s="38">
        <v>-593</v>
      </c>
      <c r="H40" s="25">
        <f t="shared" si="16"/>
        <v>-13.617021276595745</v>
      </c>
      <c r="I40" s="38">
        <v>47</v>
      </c>
      <c r="J40" s="25">
        <f t="shared" si="17"/>
        <v>-1.1428571428571428</v>
      </c>
      <c r="K40" s="52">
        <v>-329</v>
      </c>
      <c r="L40" s="60">
        <f t="shared" si="18"/>
        <v>-0.10109289617486339</v>
      </c>
      <c r="M40" s="37">
        <v>-366</v>
      </c>
    </row>
    <row r="41" spans="1:36" ht="17">
      <c r="A41" s="59"/>
      <c r="B41" s="19" t="s">
        <v>43</v>
      </c>
      <c r="C41" s="39">
        <v>-2490</v>
      </c>
      <c r="D41" s="25">
        <f t="shared" si="20"/>
        <v>-0.3164973922591271</v>
      </c>
      <c r="E41" s="22">
        <v>-3643</v>
      </c>
      <c r="F41" s="25">
        <f t="shared" si="15"/>
        <v>0.22248322147651006</v>
      </c>
      <c r="G41" s="22">
        <v>-2980</v>
      </c>
      <c r="H41" s="25">
        <f t="shared" si="16"/>
        <v>-0.24461343472750316</v>
      </c>
      <c r="I41" s="22">
        <v>-3945</v>
      </c>
      <c r="J41" s="25">
        <f t="shared" si="17"/>
        <v>1.2262979683972912</v>
      </c>
      <c r="K41" s="52">
        <v>-1772</v>
      </c>
      <c r="L41" s="60">
        <f t="shared" si="18"/>
        <v>-0.17696237807710172</v>
      </c>
      <c r="M41" s="37">
        <v>-2153</v>
      </c>
    </row>
    <row r="42" spans="1:36" ht="17">
      <c r="A42" s="59"/>
      <c r="B42" s="19" t="s">
        <v>44</v>
      </c>
      <c r="C42" s="39">
        <v>-1285</v>
      </c>
      <c r="D42" s="25">
        <f t="shared" si="20"/>
        <v>-0.45155783183952197</v>
      </c>
      <c r="E42" s="22">
        <v>-2343</v>
      </c>
      <c r="F42" s="25">
        <f t="shared" si="15"/>
        <v>0.24561403508771928</v>
      </c>
      <c r="G42" s="22">
        <v>-1881</v>
      </c>
      <c r="H42" s="25" t="e">
        <f t="shared" si="16"/>
        <v>#DIV/0!</v>
      </c>
      <c r="I42" s="39"/>
      <c r="J42" s="25">
        <f t="shared" si="17"/>
        <v>-1</v>
      </c>
      <c r="K42" s="52">
        <v>-1202</v>
      </c>
      <c r="L42" s="60">
        <f t="shared" si="18"/>
        <v>-0.18119891008174388</v>
      </c>
      <c r="M42" s="37">
        <v>-1468</v>
      </c>
    </row>
    <row r="43" spans="1:36" ht="17">
      <c r="A43" s="59"/>
      <c r="B43" s="20" t="s">
        <v>46</v>
      </c>
      <c r="C43" s="39">
        <v>788</v>
      </c>
      <c r="D43" s="25">
        <f t="shared" si="20"/>
        <v>0.85411764705882354</v>
      </c>
      <c r="E43" s="38">
        <v>425</v>
      </c>
      <c r="F43" s="25">
        <f t="shared" si="15"/>
        <v>-0.23698384201077199</v>
      </c>
      <c r="G43" s="38">
        <v>557</v>
      </c>
      <c r="H43" s="25">
        <f t="shared" si="16"/>
        <v>-0.38384955752212391</v>
      </c>
      <c r="I43" s="38">
        <v>904</v>
      </c>
      <c r="J43" s="25">
        <f t="shared" si="17"/>
        <v>1.3541666666666667</v>
      </c>
      <c r="K43" s="51">
        <v>384</v>
      </c>
      <c r="L43" s="60">
        <f t="shared" si="18"/>
        <v>-0.63463368220742156</v>
      </c>
      <c r="M43" s="37">
        <v>1051</v>
      </c>
    </row>
    <row r="44" spans="1:36" ht="17">
      <c r="A44" s="59"/>
      <c r="B44" s="19" t="s">
        <v>47</v>
      </c>
      <c r="C44" s="39">
        <v>-201</v>
      </c>
      <c r="D44" s="25">
        <f t="shared" si="20"/>
        <v>0.99009900990099009</v>
      </c>
      <c r="E44" s="38">
        <v>-101</v>
      </c>
      <c r="F44" s="25">
        <f t="shared" si="15"/>
        <v>-0.18548387096774194</v>
      </c>
      <c r="G44" s="38">
        <v>-124</v>
      </c>
      <c r="H44" s="25">
        <f t="shared" si="16"/>
        <v>-0.27485380116959063</v>
      </c>
      <c r="I44" s="38">
        <v>-171</v>
      </c>
      <c r="J44" s="25">
        <f t="shared" si="17"/>
        <v>0.55454545454545456</v>
      </c>
      <c r="K44" s="52">
        <v>-110</v>
      </c>
      <c r="L44" s="60">
        <f t="shared" si="18"/>
        <v>-0.45812807881773399</v>
      </c>
      <c r="M44" s="37">
        <v>-203</v>
      </c>
    </row>
    <row r="45" spans="1:36" ht="17">
      <c r="A45" s="59"/>
      <c r="B45" s="20" t="s">
        <v>49</v>
      </c>
      <c r="C45" s="39">
        <v>587</v>
      </c>
      <c r="D45" s="25">
        <f t="shared" si="20"/>
        <v>0.81172839506172845</v>
      </c>
      <c r="E45" s="38">
        <v>324</v>
      </c>
      <c r="F45" s="25">
        <f t="shared" si="15"/>
        <v>-0.25173210161662818</v>
      </c>
      <c r="G45" s="38">
        <v>433</v>
      </c>
      <c r="H45" s="25">
        <f t="shared" si="16"/>
        <v>-0.40927694406548432</v>
      </c>
      <c r="I45" s="38">
        <v>733</v>
      </c>
      <c r="J45" s="25">
        <f t="shared" si="17"/>
        <v>1.6751824817518248</v>
      </c>
      <c r="K45" s="51">
        <v>274</v>
      </c>
      <c r="L45" s="60">
        <f t="shared" si="18"/>
        <v>-0.67688679245283023</v>
      </c>
      <c r="M45" s="37">
        <v>848</v>
      </c>
    </row>
    <row r="46" spans="1:36">
      <c r="A46" s="61"/>
      <c r="E46" s="62"/>
      <c r="F46" s="62"/>
      <c r="I46" s="62"/>
      <c r="L46" s="62"/>
      <c r="O46" s="62"/>
      <c r="P46" s="62"/>
    </row>
    <row r="47" spans="1:36">
      <c r="A47" s="61"/>
      <c r="B47" s="3"/>
      <c r="E47" s="26"/>
      <c r="F47" s="26"/>
      <c r="I47" s="62"/>
      <c r="L47" s="62"/>
      <c r="O47" s="62"/>
      <c r="P47" s="62"/>
    </row>
    <row r="48" spans="1:36">
      <c r="A48" s="61"/>
      <c r="B48" s="68"/>
      <c r="C48" s="62"/>
      <c r="D48" s="47"/>
      <c r="E48" s="62"/>
      <c r="F48" s="62"/>
      <c r="I48" s="62"/>
      <c r="L48" s="62"/>
      <c r="O48" s="62"/>
      <c r="P48" s="62"/>
    </row>
    <row r="49" spans="1:37" ht="34">
      <c r="A49" s="241" t="s">
        <v>80</v>
      </c>
      <c r="B49" s="248"/>
      <c r="C49" s="257">
        <v>2024</v>
      </c>
      <c r="D49" s="257">
        <v>2023</v>
      </c>
      <c r="E49" s="257">
        <v>2022</v>
      </c>
      <c r="F49" s="257">
        <v>2021</v>
      </c>
      <c r="G49" s="257">
        <v>2020</v>
      </c>
      <c r="O49" s="62"/>
      <c r="P49" s="62"/>
    </row>
    <row r="50" spans="1:37" ht="17">
      <c r="A50" s="61"/>
      <c r="B50" s="251"/>
      <c r="C50" s="255"/>
      <c r="D50" s="255"/>
      <c r="E50" s="255"/>
      <c r="F50" s="255"/>
      <c r="G50" s="255"/>
      <c r="O50" s="26"/>
      <c r="P50" s="26"/>
    </row>
    <row r="51" spans="1:37" ht="18">
      <c r="A51" s="61"/>
      <c r="B51" s="252" t="s">
        <v>16</v>
      </c>
      <c r="C51" s="255">
        <v>7926</v>
      </c>
      <c r="D51" s="255">
        <v>9257</v>
      </c>
      <c r="E51" s="255">
        <v>8155</v>
      </c>
      <c r="F51" s="255">
        <v>6109</v>
      </c>
      <c r="G51" s="255">
        <v>6073</v>
      </c>
      <c r="O51" s="62"/>
      <c r="P51" s="62"/>
      <c r="AH51" s="36"/>
      <c r="AI51" s="54">
        <v>2022</v>
      </c>
      <c r="AJ51" s="54">
        <v>2023</v>
      </c>
      <c r="AK51" s="54">
        <v>2024</v>
      </c>
    </row>
    <row r="52" spans="1:37" ht="18">
      <c r="A52" s="61"/>
      <c r="B52" s="252" t="s">
        <v>14</v>
      </c>
      <c r="C52" s="255">
        <v>1173</v>
      </c>
      <c r="D52" s="255">
        <v>1951</v>
      </c>
      <c r="E52" s="255">
        <v>1929</v>
      </c>
      <c r="F52" s="255">
        <v>273</v>
      </c>
      <c r="G52" s="255">
        <v>590</v>
      </c>
      <c r="O52" s="26"/>
      <c r="P52" s="26"/>
      <c r="AH52" s="278" t="s">
        <v>16</v>
      </c>
      <c r="AI52" s="60">
        <v>63158</v>
      </c>
      <c r="AJ52" s="60">
        <v>91163</v>
      </c>
      <c r="AK52" s="60">
        <v>105082</v>
      </c>
    </row>
    <row r="53" spans="1:37" ht="36">
      <c r="A53" s="61"/>
      <c r="B53" s="252" t="s">
        <v>144</v>
      </c>
      <c r="C53" s="255">
        <v>1217</v>
      </c>
      <c r="D53" s="255">
        <v>1324</v>
      </c>
      <c r="E53" s="255">
        <v>1544</v>
      </c>
      <c r="F53" s="255">
        <v>1031</v>
      </c>
      <c r="G53" s="255">
        <v>714</v>
      </c>
      <c r="O53" s="62"/>
      <c r="P53" s="62"/>
      <c r="AH53" s="65" t="s">
        <v>117</v>
      </c>
      <c r="AI53" s="25">
        <v>0.12912061813230311</v>
      </c>
      <c r="AJ53" s="25">
        <v>0.10154338931364698</v>
      </c>
      <c r="AK53" s="25">
        <v>7.5426809539216988E-2</v>
      </c>
    </row>
    <row r="54" spans="1:37" ht="36">
      <c r="A54" s="61"/>
      <c r="B54" s="252" t="s">
        <v>145</v>
      </c>
      <c r="C54" s="255"/>
      <c r="D54" s="255">
        <v>161</v>
      </c>
      <c r="E54" s="255">
        <v>338</v>
      </c>
      <c r="F54" s="255"/>
      <c r="G54" s="255">
        <v>133</v>
      </c>
      <c r="O54" s="62"/>
      <c r="P54" s="62"/>
    </row>
    <row r="55" spans="1:37" ht="36">
      <c r="A55" s="61"/>
      <c r="B55" s="254" t="s">
        <v>146</v>
      </c>
      <c r="C55" s="256">
        <v>10316</v>
      </c>
      <c r="D55" s="256">
        <v>12693</v>
      </c>
      <c r="E55" s="256">
        <v>11966</v>
      </c>
      <c r="F55" s="256">
        <v>7413</v>
      </c>
      <c r="G55" s="256">
        <v>7510</v>
      </c>
      <c r="O55" s="62"/>
      <c r="P55" s="62"/>
      <c r="T55" s="60"/>
      <c r="U55" s="261">
        <v>2022</v>
      </c>
      <c r="V55" s="261">
        <v>2023</v>
      </c>
      <c r="W55" s="261">
        <v>2024</v>
      </c>
    </row>
    <row r="56" spans="1:37">
      <c r="A56" s="61"/>
      <c r="B56" s="243"/>
      <c r="C56" s="242"/>
      <c r="D56" s="242"/>
      <c r="E56" s="242"/>
      <c r="F56" s="242"/>
      <c r="G56" s="242"/>
      <c r="O56" s="62"/>
      <c r="P56" s="62"/>
      <c r="T56" s="88" t="s">
        <v>89</v>
      </c>
      <c r="U56" s="281">
        <v>2454</v>
      </c>
      <c r="V56" s="281">
        <v>1447</v>
      </c>
      <c r="W56" s="281">
        <v>2287</v>
      </c>
    </row>
    <row r="57" spans="1:37" ht="32" customHeight="1">
      <c r="A57" s="241" t="s">
        <v>82</v>
      </c>
      <c r="B57" s="253"/>
      <c r="C57" s="249">
        <v>2024</v>
      </c>
      <c r="D57" s="249">
        <v>2023</v>
      </c>
      <c r="E57" s="249">
        <v>2022</v>
      </c>
      <c r="F57" s="249">
        <v>2021</v>
      </c>
      <c r="G57" s="249">
        <v>2020</v>
      </c>
      <c r="O57" s="62"/>
      <c r="P57" s="62"/>
      <c r="T57" s="279" t="s">
        <v>117</v>
      </c>
      <c r="U57" s="280">
        <f>E61/U56</f>
        <v>4.8899755501222494E-3</v>
      </c>
      <c r="V57" s="280">
        <f>D61/V56</f>
        <v>6.9108500345542506E-3</v>
      </c>
      <c r="W57" s="280">
        <f>C61/W56</f>
        <v>3.060778312199388E-3</v>
      </c>
    </row>
    <row r="58" spans="1:37" ht="18">
      <c r="A58" s="26"/>
      <c r="B58" s="252" t="s">
        <v>147</v>
      </c>
      <c r="C58" s="250">
        <v>332</v>
      </c>
      <c r="D58" s="250">
        <v>544</v>
      </c>
      <c r="E58" s="250">
        <v>364</v>
      </c>
      <c r="F58" s="250">
        <v>162</v>
      </c>
      <c r="G58" s="250">
        <v>131</v>
      </c>
      <c r="O58" s="62"/>
      <c r="P58" s="62"/>
    </row>
    <row r="59" spans="1:37" ht="18">
      <c r="A59" s="64"/>
      <c r="B59" s="252" t="s">
        <v>148</v>
      </c>
      <c r="C59" s="250">
        <v>133</v>
      </c>
      <c r="D59" s="250">
        <v>258</v>
      </c>
      <c r="E59" s="250">
        <v>213</v>
      </c>
      <c r="F59" s="250">
        <v>224</v>
      </c>
      <c r="G59" s="250">
        <v>191</v>
      </c>
      <c r="O59" s="62"/>
      <c r="P59" s="62"/>
    </row>
    <row r="60" spans="1:37" ht="18">
      <c r="A60" s="26"/>
      <c r="B60" s="252" t="s">
        <v>149</v>
      </c>
      <c r="C60" s="250">
        <v>2</v>
      </c>
      <c r="D60" s="250">
        <v>31</v>
      </c>
      <c r="E60" s="250">
        <v>50</v>
      </c>
      <c r="F60" s="250">
        <v>43</v>
      </c>
      <c r="G60" s="250"/>
      <c r="O60" s="26"/>
      <c r="P60" s="26"/>
    </row>
    <row r="61" spans="1:37" ht="18">
      <c r="A61" s="26"/>
      <c r="B61" s="252" t="s">
        <v>150</v>
      </c>
      <c r="C61" s="250">
        <v>7</v>
      </c>
      <c r="D61" s="250">
        <v>10</v>
      </c>
      <c r="E61" s="250">
        <v>12</v>
      </c>
      <c r="F61" s="250">
        <v>12</v>
      </c>
      <c r="G61" s="250">
        <v>16</v>
      </c>
      <c r="O61" s="62"/>
      <c r="P61" s="62"/>
    </row>
    <row r="62" spans="1:37" ht="18">
      <c r="A62" s="26"/>
      <c r="B62" s="252" t="s">
        <v>151</v>
      </c>
      <c r="C62" s="250">
        <v>65</v>
      </c>
      <c r="D62" s="250">
        <v>84</v>
      </c>
      <c r="E62" s="250">
        <v>55</v>
      </c>
      <c r="F62" s="250"/>
      <c r="G62" s="250">
        <v>36</v>
      </c>
    </row>
    <row r="63" spans="1:37" ht="18">
      <c r="A63" s="26"/>
      <c r="B63" s="252" t="s">
        <v>152</v>
      </c>
      <c r="C63" s="250">
        <v>65</v>
      </c>
      <c r="D63" s="250">
        <v>51</v>
      </c>
      <c r="E63" s="250">
        <v>18</v>
      </c>
      <c r="F63" s="250"/>
      <c r="G63" s="250">
        <v>14</v>
      </c>
    </row>
    <row r="64" spans="1:37" ht="18">
      <c r="A64" s="26"/>
      <c r="B64" s="252" t="s">
        <v>118</v>
      </c>
      <c r="C64" s="250">
        <v>37</v>
      </c>
      <c r="D64" s="250">
        <v>3</v>
      </c>
      <c r="E64" s="250">
        <v>3</v>
      </c>
      <c r="F64" s="250">
        <v>71</v>
      </c>
      <c r="G64" s="250">
        <v>7</v>
      </c>
    </row>
    <row r="65" spans="1:7" ht="18">
      <c r="A65" s="26"/>
      <c r="B65" s="254" t="s">
        <v>23</v>
      </c>
      <c r="C65" s="249">
        <v>641</v>
      </c>
      <c r="D65" s="249">
        <v>981</v>
      </c>
      <c r="E65" s="249">
        <v>715</v>
      </c>
      <c r="F65" s="249">
        <v>512</v>
      </c>
      <c r="G65" s="249">
        <v>395</v>
      </c>
    </row>
    <row r="66" spans="1:7">
      <c r="A66" s="64"/>
      <c r="B66" s="244"/>
      <c r="C66" s="34"/>
      <c r="D66" s="34"/>
      <c r="E66" s="34"/>
      <c r="F66" s="34"/>
      <c r="G66" s="34"/>
    </row>
    <row r="67" spans="1:7">
      <c r="A67" s="64"/>
      <c r="B67" s="245"/>
      <c r="C67" s="246"/>
      <c r="D67" s="246"/>
      <c r="E67" s="246"/>
      <c r="F67" s="246"/>
      <c r="G67" s="246"/>
    </row>
    <row r="68" spans="1:7">
      <c r="A68" s="64"/>
      <c r="B68" s="244"/>
      <c r="C68" s="34"/>
      <c r="D68" s="34"/>
      <c r="E68" s="34"/>
      <c r="F68" s="34"/>
      <c r="G68" s="34"/>
    </row>
    <row r="70" spans="1:7">
      <c r="A70" s="247"/>
      <c r="B70" s="244"/>
      <c r="C70" s="34"/>
      <c r="D70" s="34"/>
      <c r="E70" s="34"/>
      <c r="F70" s="34"/>
      <c r="G70" s="34"/>
    </row>
    <row r="71" spans="1:7">
      <c r="A71" s="26"/>
      <c r="B71" s="243"/>
      <c r="C71" s="242"/>
      <c r="D71" s="242"/>
      <c r="E71" s="242"/>
      <c r="F71" s="242"/>
      <c r="G71" s="242"/>
    </row>
    <row r="72" spans="1:7">
      <c r="A72" s="64"/>
      <c r="B72" s="243"/>
      <c r="C72" s="242"/>
      <c r="D72" s="242"/>
      <c r="E72" s="242"/>
      <c r="F72" s="242"/>
      <c r="G72" s="242"/>
    </row>
    <row r="73" spans="1:7">
      <c r="A73" s="26"/>
      <c r="B73" s="243"/>
      <c r="C73" s="242"/>
      <c r="D73" s="242"/>
      <c r="E73" s="242"/>
      <c r="F73" s="242"/>
      <c r="G73" s="242"/>
    </row>
    <row r="74" spans="1:7">
      <c r="A74" s="26"/>
      <c r="B74" s="243"/>
      <c r="C74" s="242"/>
      <c r="D74" s="242"/>
      <c r="E74" s="242"/>
      <c r="F74" s="242"/>
      <c r="G74" s="242"/>
    </row>
    <row r="75" spans="1:7">
      <c r="A75" s="26"/>
      <c r="B75" s="243"/>
      <c r="C75" s="242"/>
      <c r="D75" s="242"/>
      <c r="E75" s="242"/>
      <c r="F75" s="242"/>
      <c r="G75" s="242"/>
    </row>
    <row r="76" spans="1:7">
      <c r="A76" s="26"/>
      <c r="B76" s="243"/>
      <c r="C76" s="242"/>
      <c r="D76" s="242"/>
      <c r="E76" s="242"/>
      <c r="F76" s="242"/>
      <c r="G76" s="242"/>
    </row>
    <row r="77" spans="1:7">
      <c r="A77" s="26"/>
      <c r="B77" s="243"/>
      <c r="C77" s="242"/>
      <c r="D77" s="242"/>
      <c r="E77" s="242"/>
      <c r="F77" s="242"/>
      <c r="G77" s="242"/>
    </row>
    <row r="78" spans="1:7">
      <c r="A78" s="26"/>
      <c r="B78" s="244"/>
      <c r="C78" s="34"/>
      <c r="D78" s="34"/>
      <c r="E78" s="34"/>
      <c r="F78" s="34"/>
      <c r="G78" s="34"/>
    </row>
    <row r="79" spans="1:7">
      <c r="A79" s="26"/>
      <c r="B79" s="243"/>
      <c r="C79" s="242"/>
      <c r="D79" s="242"/>
      <c r="E79" s="242"/>
      <c r="F79" s="242"/>
      <c r="G79" s="242"/>
    </row>
    <row r="80" spans="1:7">
      <c r="A80" s="26"/>
      <c r="B80" s="243"/>
      <c r="C80" s="242"/>
      <c r="D80" s="242"/>
      <c r="E80" s="242"/>
      <c r="F80" s="242"/>
      <c r="G80" s="242"/>
    </row>
    <row r="81" spans="1:7">
      <c r="A81" s="26"/>
      <c r="B81" s="243"/>
      <c r="C81" s="242"/>
      <c r="D81" s="242"/>
      <c r="E81" s="242"/>
      <c r="F81" s="242"/>
      <c r="G81" s="242"/>
    </row>
    <row r="82" spans="1:7">
      <c r="A82" s="26"/>
      <c r="B82" s="243"/>
      <c r="C82" s="242"/>
      <c r="D82" s="242"/>
      <c r="E82" s="242"/>
      <c r="F82" s="242"/>
      <c r="G82" s="242"/>
    </row>
    <row r="83" spans="1:7">
      <c r="A83" s="26"/>
      <c r="B83" s="242"/>
      <c r="C83" s="242"/>
      <c r="D83" s="242"/>
      <c r="E83" s="242"/>
      <c r="F83" s="242"/>
      <c r="G83" s="242"/>
    </row>
    <row r="84" spans="1:7">
      <c r="A84" s="26"/>
      <c r="B84" s="26"/>
      <c r="C84" s="26"/>
      <c r="D84" s="62"/>
      <c r="E84" s="62"/>
    </row>
    <row r="85" spans="1:7">
      <c r="A85" s="26"/>
      <c r="B85" s="26"/>
      <c r="C85" s="26"/>
      <c r="D85" s="62"/>
      <c r="E85" s="62"/>
    </row>
    <row r="86" spans="1:7">
      <c r="A86" s="26"/>
      <c r="B86" s="26"/>
      <c r="C86" s="26"/>
      <c r="D86" s="26"/>
      <c r="E86" s="26"/>
    </row>
    <row r="87" spans="1:7">
      <c r="A87" s="26"/>
      <c r="B87" s="26"/>
      <c r="C87" s="26"/>
      <c r="D87" s="62"/>
      <c r="E87" s="62"/>
    </row>
    <row r="88" spans="1:7">
      <c r="A88" s="26"/>
      <c r="B88" s="26"/>
      <c r="C88" s="26"/>
      <c r="D88" s="26"/>
      <c r="E88" s="26"/>
    </row>
    <row r="89" spans="1:7">
      <c r="A89" s="26"/>
      <c r="B89" s="26"/>
      <c r="C89" s="26"/>
      <c r="D89" s="62"/>
      <c r="E89" s="62"/>
    </row>
    <row r="90" spans="1:7">
      <c r="A90" s="26"/>
      <c r="B90" s="26"/>
      <c r="C90" s="26"/>
      <c r="D90" s="62"/>
      <c r="E90" s="62"/>
    </row>
    <row r="91" spans="1:7">
      <c r="A91" s="26"/>
      <c r="B91" s="26"/>
      <c r="C91" s="26"/>
      <c r="D91" s="62"/>
      <c r="E91" s="62"/>
    </row>
    <row r="92" spans="1:7">
      <c r="A92" s="26"/>
      <c r="B92" s="26"/>
      <c r="C92" s="26"/>
      <c r="D92" s="62"/>
      <c r="E92" s="62"/>
    </row>
    <row r="93" spans="1:7">
      <c r="A93" s="26"/>
      <c r="B93" s="26"/>
      <c r="C93" s="26"/>
      <c r="D93" s="62"/>
      <c r="E93" s="62"/>
    </row>
    <row r="94" spans="1:7">
      <c r="A94" s="26"/>
      <c r="B94" s="26"/>
      <c r="C94" s="26"/>
      <c r="D94" s="62"/>
      <c r="E94" s="62"/>
    </row>
    <row r="95" spans="1:7">
      <c r="A95" s="26"/>
      <c r="B95" s="26"/>
      <c r="C95" s="26"/>
      <c r="D95" s="62"/>
      <c r="E95" s="62"/>
    </row>
    <row r="96" spans="1:7">
      <c r="A96" s="26"/>
      <c r="B96" s="26"/>
      <c r="C96" s="26"/>
      <c r="D96" s="26"/>
      <c r="E96" s="26"/>
    </row>
    <row r="97" spans="1:5">
      <c r="A97" s="26"/>
      <c r="B97" s="26"/>
      <c r="C97" s="26"/>
      <c r="D97" s="62"/>
      <c r="E97" s="62"/>
    </row>
  </sheetData>
  <mergeCells count="7">
    <mergeCell ref="AO7:AR7"/>
    <mergeCell ref="T1:U1"/>
    <mergeCell ref="B2:R2"/>
    <mergeCell ref="A8:A9"/>
    <mergeCell ref="A11:A12"/>
    <mergeCell ref="AG2:AG3"/>
    <mergeCell ref="AG4:AG7"/>
  </mergeCells>
  <phoneticPr fontId="4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1D64-DF1A-4A11-AE8E-A1FF6F93A9DE}">
  <dimension ref="A1:V102"/>
  <sheetViews>
    <sheetView topLeftCell="A24" zoomScale="33" workbookViewId="0">
      <selection activeCell="Z102" sqref="Z102"/>
    </sheetView>
  </sheetViews>
  <sheetFormatPr baseColWidth="10" defaultColWidth="11" defaultRowHeight="16"/>
  <cols>
    <col min="1" max="1" width="7.33203125" style="66" bestFit="1" customWidth="1"/>
    <col min="2" max="2" width="58.83203125" style="66" customWidth="1"/>
    <col min="3" max="3" width="11.1640625" style="66" customWidth="1"/>
    <col min="4" max="4" width="13.83203125" style="66" customWidth="1"/>
    <col min="5" max="5" width="14.83203125" style="66" customWidth="1"/>
    <col min="6" max="6" width="10.6640625" style="66" customWidth="1"/>
    <col min="7" max="7" width="13.33203125" style="66" customWidth="1"/>
    <col min="8" max="8" width="20.83203125" style="66" customWidth="1"/>
    <col min="9" max="9" width="11.6640625" style="66" customWidth="1"/>
    <col min="10" max="11" width="16.1640625" style="66" customWidth="1"/>
    <col min="12" max="12" width="16.83203125" style="66" customWidth="1"/>
    <col min="13" max="13" width="13.6640625" style="66" customWidth="1"/>
    <col min="14" max="14" width="18.5" style="66" customWidth="1"/>
    <col min="15" max="15" width="12.33203125" style="66" customWidth="1"/>
    <col min="16" max="16" width="13.83203125" style="66" customWidth="1"/>
    <col min="17" max="17" width="17.1640625" style="66" customWidth="1"/>
    <col min="18" max="18" width="11.1640625" style="66" customWidth="1"/>
    <col min="19" max="19" width="12.33203125" style="66" customWidth="1"/>
  </cols>
  <sheetData>
    <row r="1" spans="1:22" ht="38.25" customHeight="1">
      <c r="A1" s="70" t="s">
        <v>153</v>
      </c>
      <c r="B1" s="70" t="s">
        <v>76</v>
      </c>
      <c r="C1" s="71">
        <v>45474</v>
      </c>
      <c r="D1" s="72" t="s">
        <v>154</v>
      </c>
      <c r="E1" s="73" t="s">
        <v>77</v>
      </c>
      <c r="F1" s="74">
        <v>45291</v>
      </c>
      <c r="G1" s="75" t="s">
        <v>154</v>
      </c>
      <c r="H1" s="76" t="s">
        <v>77</v>
      </c>
      <c r="I1" s="77">
        <v>44926</v>
      </c>
      <c r="J1" s="72" t="s">
        <v>154</v>
      </c>
      <c r="K1" s="73" t="s">
        <v>77</v>
      </c>
      <c r="L1" s="78">
        <v>44561</v>
      </c>
      <c r="M1" s="75" t="s">
        <v>154</v>
      </c>
      <c r="N1" s="76" t="s">
        <v>77</v>
      </c>
      <c r="O1" s="77">
        <v>44196</v>
      </c>
      <c r="P1" s="72" t="s">
        <v>154</v>
      </c>
      <c r="Q1" s="73" t="s">
        <v>77</v>
      </c>
      <c r="R1" s="78">
        <v>43830</v>
      </c>
      <c r="S1" s="79" t="s">
        <v>154</v>
      </c>
      <c r="U1" s="343" t="s">
        <v>155</v>
      </c>
      <c r="V1" s="343"/>
    </row>
    <row r="2" spans="1:22">
      <c r="A2" s="339" t="s">
        <v>156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1"/>
      <c r="P2" s="340"/>
      <c r="Q2" s="340"/>
      <c r="R2" s="342"/>
      <c r="S2" s="85"/>
      <c r="U2" s="54">
        <v>2020</v>
      </c>
      <c r="V2" s="53">
        <f>O11</f>
        <v>74769</v>
      </c>
    </row>
    <row r="3" spans="1:22" ht="30" customHeight="1">
      <c r="A3" s="67"/>
      <c r="B3" s="80" t="s">
        <v>157</v>
      </c>
      <c r="C3" s="95"/>
      <c r="D3" s="67"/>
      <c r="E3" s="67"/>
      <c r="F3" s="95"/>
      <c r="G3" s="67"/>
      <c r="H3" s="67"/>
      <c r="I3" s="95"/>
      <c r="J3" s="67"/>
      <c r="K3" s="67"/>
      <c r="L3" s="95"/>
      <c r="M3" s="67"/>
      <c r="N3" s="81"/>
      <c r="O3" s="82"/>
      <c r="P3" s="99"/>
      <c r="Q3" s="81"/>
      <c r="R3" s="96">
        <v>1230</v>
      </c>
      <c r="S3" s="98">
        <f>R3/R$11</f>
        <v>1.3428387392600194E-2</v>
      </c>
      <c r="U3" s="65">
        <v>2021</v>
      </c>
      <c r="V3" s="53">
        <f>L11</f>
        <v>87307</v>
      </c>
    </row>
    <row r="4" spans="1:22">
      <c r="A4" s="67"/>
      <c r="B4" s="81" t="s">
        <v>48</v>
      </c>
      <c r="C4" s="102">
        <v>7276</v>
      </c>
      <c r="D4" s="98">
        <f t="shared" ref="D4:D10" si="0">C4/$C$11</f>
        <v>5.7821291204424807E-2</v>
      </c>
      <c r="E4" s="103">
        <f>(C4-F4)/F4</f>
        <v>-0.62717770034843201</v>
      </c>
      <c r="F4" s="102">
        <v>19516</v>
      </c>
      <c r="G4" s="98">
        <f t="shared" ref="G4:G10" si="1">F4/F$11</f>
        <v>0.12388987284719445</v>
      </c>
      <c r="H4" s="103">
        <f>(F4-I4)/I4</f>
        <v>3.3777478689995513</v>
      </c>
      <c r="I4" s="102">
        <v>4458</v>
      </c>
      <c r="J4" s="98">
        <f t="shared" ref="J4:J10" si="2">I4/I$11</f>
        <v>4.4102807621534991E-2</v>
      </c>
      <c r="K4" s="103">
        <f>(I4-L4)/L4</f>
        <v>0.14454428754813864</v>
      </c>
      <c r="L4" s="102">
        <v>3895</v>
      </c>
      <c r="M4" s="98">
        <f t="shared" ref="M4:M10" si="3">L4/L$11</f>
        <v>4.4612688558763901E-2</v>
      </c>
      <c r="N4" s="103">
        <f>(L4-O4)/O4</f>
        <v>7.2872340425531918</v>
      </c>
      <c r="O4" s="82">
        <v>470</v>
      </c>
      <c r="P4" s="98">
        <f t="shared" ref="P4:P10" si="4">O4/O$11</f>
        <v>6.2860276317725262E-3</v>
      </c>
      <c r="Q4" s="103">
        <f>(O4-R4)/R4</f>
        <v>-0.85809178743961356</v>
      </c>
      <c r="R4" s="96">
        <v>3312</v>
      </c>
      <c r="S4" s="98">
        <f>R4/R$11</f>
        <v>3.6158389466903938E-2</v>
      </c>
      <c r="U4" s="65">
        <v>2022</v>
      </c>
      <c r="V4" s="53">
        <f>I11</f>
        <v>101082</v>
      </c>
    </row>
    <row r="5" spans="1:22">
      <c r="A5" s="67"/>
      <c r="B5" s="81" t="s">
        <v>50</v>
      </c>
      <c r="C5" s="102">
        <v>113885</v>
      </c>
      <c r="D5" s="98">
        <f t="shared" si="0"/>
        <v>0.90502717823198453</v>
      </c>
      <c r="E5" s="103">
        <f t="shared" ref="E5:E8" si="5">(C5-F5)/F5</f>
        <v>-0.15528738104597947</v>
      </c>
      <c r="F5" s="102">
        <v>134821</v>
      </c>
      <c r="G5" s="98">
        <f t="shared" si="1"/>
        <v>0.85585963041256419</v>
      </c>
      <c r="H5" s="103">
        <f t="shared" ref="H5:H8" si="6">(F5-I5)/I5</f>
        <v>0.43629816655480624</v>
      </c>
      <c r="I5" s="102">
        <v>93867</v>
      </c>
      <c r="J5" s="98">
        <f t="shared" si="2"/>
        <v>0.92862230664213208</v>
      </c>
      <c r="K5" s="103">
        <f t="shared" ref="K5" si="7">(I5-L5)/L5</f>
        <v>0.17125851613386239</v>
      </c>
      <c r="L5" s="102">
        <v>80142</v>
      </c>
      <c r="M5" s="98">
        <f t="shared" si="3"/>
        <v>0.91793326995544455</v>
      </c>
      <c r="N5" s="103">
        <f t="shared" ref="N5:N8" si="8">(L5-O5)/O5</f>
        <v>0.11494156928213689</v>
      </c>
      <c r="O5" s="83">
        <v>71880</v>
      </c>
      <c r="P5" s="98">
        <f t="shared" si="4"/>
        <v>0.96136099185491308</v>
      </c>
      <c r="Q5" s="103">
        <f t="shared" ref="Q5:Q8" si="9">(O5-R5)/R5</f>
        <v>-9.0322335699912673E-2</v>
      </c>
      <c r="R5" s="96">
        <v>79017</v>
      </c>
      <c r="S5" s="98">
        <f>R5/R$11</f>
        <v>0.86265925739925975</v>
      </c>
      <c r="U5" s="65">
        <v>2023</v>
      </c>
      <c r="V5" s="53">
        <f>F11</f>
        <v>157527</v>
      </c>
    </row>
    <row r="6" spans="1:22" ht="17">
      <c r="A6" s="67"/>
      <c r="B6" s="93" t="s">
        <v>158</v>
      </c>
      <c r="C6" s="104">
        <v>0</v>
      </c>
      <c r="D6" s="98">
        <f t="shared" si="0"/>
        <v>0</v>
      </c>
      <c r="E6" s="103">
        <v>0</v>
      </c>
      <c r="F6" s="104">
        <v>0</v>
      </c>
      <c r="G6" s="98">
        <f t="shared" si="1"/>
        <v>0</v>
      </c>
      <c r="H6" s="103">
        <v>0</v>
      </c>
      <c r="I6" s="104">
        <v>0</v>
      </c>
      <c r="J6" s="98">
        <f t="shared" si="2"/>
        <v>0</v>
      </c>
      <c r="K6" s="103">
        <v>0</v>
      </c>
      <c r="L6" s="104">
        <v>0</v>
      </c>
      <c r="M6" s="98">
        <f t="shared" si="3"/>
        <v>0</v>
      </c>
      <c r="N6" s="103">
        <v>0</v>
      </c>
      <c r="O6" s="82">
        <v>102</v>
      </c>
      <c r="P6" s="98">
        <f t="shared" si="4"/>
        <v>1.3642017413633993E-3</v>
      </c>
      <c r="Q6" s="103">
        <v>0</v>
      </c>
      <c r="R6" s="84">
        <v>397</v>
      </c>
      <c r="S6" s="98">
        <f>R6/R$11</f>
        <v>4.3342030852538838E-3</v>
      </c>
      <c r="U6" s="65">
        <v>2024</v>
      </c>
      <c r="V6" s="53">
        <f>C11</f>
        <v>125836</v>
      </c>
    </row>
    <row r="7" spans="1:22" ht="17">
      <c r="A7" s="67"/>
      <c r="B7" s="93" t="s">
        <v>52</v>
      </c>
      <c r="C7" s="104">
        <v>30</v>
      </c>
      <c r="D7" s="98">
        <f t="shared" si="0"/>
        <v>2.3840554372357671E-4</v>
      </c>
      <c r="E7" s="103">
        <f t="shared" si="5"/>
        <v>0.2</v>
      </c>
      <c r="F7" s="104">
        <v>25</v>
      </c>
      <c r="G7" s="98">
        <f t="shared" si="1"/>
        <v>1.5870295250972849E-4</v>
      </c>
      <c r="H7" s="103"/>
      <c r="I7" s="104">
        <v>0</v>
      </c>
      <c r="J7" s="98">
        <f t="shared" si="2"/>
        <v>0</v>
      </c>
      <c r="K7" s="103">
        <v>0</v>
      </c>
      <c r="L7" s="104">
        <v>0</v>
      </c>
      <c r="M7" s="98">
        <f t="shared" si="3"/>
        <v>0</v>
      </c>
      <c r="N7" s="103">
        <f>(L7-O7)/O7</f>
        <v>-1</v>
      </c>
      <c r="O7" s="82">
        <v>11</v>
      </c>
      <c r="P7" s="98">
        <f t="shared" si="4"/>
        <v>1.4711979563722933E-4</v>
      </c>
      <c r="Q7" s="105">
        <v>1</v>
      </c>
      <c r="R7" s="100" t="s">
        <v>27</v>
      </c>
      <c r="S7" s="101" t="s">
        <v>27</v>
      </c>
    </row>
    <row r="8" spans="1:22" ht="17">
      <c r="A8" s="67"/>
      <c r="B8" s="93" t="s">
        <v>53</v>
      </c>
      <c r="C8" s="102">
        <v>1507</v>
      </c>
      <c r="D8" s="98">
        <f t="shared" si="0"/>
        <v>1.1975905146381003E-2</v>
      </c>
      <c r="E8" s="103">
        <f t="shared" si="5"/>
        <v>0.42843601895734595</v>
      </c>
      <c r="F8" s="102">
        <v>1055</v>
      </c>
      <c r="G8" s="98">
        <f t="shared" si="1"/>
        <v>6.6972645959105419E-3</v>
      </c>
      <c r="H8" s="103">
        <f t="shared" si="6"/>
        <v>-4.8692515779981967E-2</v>
      </c>
      <c r="I8" s="102">
        <v>1109</v>
      </c>
      <c r="J8" s="98">
        <f t="shared" si="2"/>
        <v>1.0971290635325774E-2</v>
      </c>
      <c r="K8" s="103">
        <f>(I8-L8)/L8</f>
        <v>-0.5579912315663611</v>
      </c>
      <c r="L8" s="102">
        <v>2509</v>
      </c>
      <c r="M8" s="98">
        <f t="shared" si="3"/>
        <v>2.8737672809740343E-2</v>
      </c>
      <c r="N8" s="103">
        <f t="shared" si="8"/>
        <v>5.1046228710462289</v>
      </c>
      <c r="O8" s="82">
        <v>411</v>
      </c>
      <c r="P8" s="98">
        <f t="shared" si="4"/>
        <v>5.496930546081932E-3</v>
      </c>
      <c r="Q8" s="103">
        <f t="shared" si="9"/>
        <v>-0.30924369747899161</v>
      </c>
      <c r="R8" s="84">
        <v>595</v>
      </c>
      <c r="S8" s="98">
        <f>R8/R$11</f>
        <v>6.4958459338187932E-3</v>
      </c>
    </row>
    <row r="9" spans="1:22">
      <c r="A9" s="67"/>
      <c r="B9" s="81" t="s">
        <v>54</v>
      </c>
      <c r="C9" s="102">
        <v>3138</v>
      </c>
      <c r="D9" s="98">
        <f t="shared" si="0"/>
        <v>2.4937219873486124E-2</v>
      </c>
      <c r="E9" s="103">
        <f>(C9-F9)/F9</f>
        <v>0.48720379146919429</v>
      </c>
      <c r="F9" s="102">
        <v>2110</v>
      </c>
      <c r="G9" s="98">
        <f t="shared" si="1"/>
        <v>1.3394529191821084E-2</v>
      </c>
      <c r="H9" s="103">
        <f>(F9-I9)/I9</f>
        <v>0.2803398058252427</v>
      </c>
      <c r="I9" s="102">
        <v>1648</v>
      </c>
      <c r="J9" s="98">
        <f t="shared" si="2"/>
        <v>1.6303595101007103E-2</v>
      </c>
      <c r="K9" s="103">
        <f>(I9-L9)/L9</f>
        <v>1.1655716162943495</v>
      </c>
      <c r="L9" s="104">
        <v>761</v>
      </c>
      <c r="M9" s="98">
        <f t="shared" si="3"/>
        <v>8.7163686760511755E-3</v>
      </c>
      <c r="N9" s="103">
        <f>(L9-O9)/O9</f>
        <v>0.92658227848101271</v>
      </c>
      <c r="O9" s="82">
        <v>395</v>
      </c>
      <c r="P9" s="98">
        <f t="shared" si="4"/>
        <v>5.2829381160641445E-3</v>
      </c>
      <c r="Q9" s="103">
        <f>(O9-R9)/R9</f>
        <v>-0.3247863247863248</v>
      </c>
      <c r="R9" s="84">
        <v>585</v>
      </c>
      <c r="S9" s="98">
        <f>R9/R$11</f>
        <v>6.386672052578141E-3</v>
      </c>
    </row>
    <row r="10" spans="1:22">
      <c r="A10" s="67"/>
      <c r="B10" s="81" t="s">
        <v>159</v>
      </c>
      <c r="C10" s="104">
        <v>0</v>
      </c>
      <c r="D10" s="98">
        <f t="shared" si="0"/>
        <v>0</v>
      </c>
      <c r="E10" s="103">
        <v>0</v>
      </c>
      <c r="F10" s="104">
        <v>0</v>
      </c>
      <c r="G10" s="98">
        <f t="shared" si="1"/>
        <v>0</v>
      </c>
      <c r="H10" s="103">
        <v>0</v>
      </c>
      <c r="I10" s="104">
        <v>0</v>
      </c>
      <c r="J10" s="98">
        <f t="shared" si="2"/>
        <v>0</v>
      </c>
      <c r="K10" s="103">
        <v>0</v>
      </c>
      <c r="L10" s="104">
        <v>0</v>
      </c>
      <c r="M10" s="98">
        <f t="shared" si="3"/>
        <v>0</v>
      </c>
      <c r="N10" s="103">
        <v>0</v>
      </c>
      <c r="O10" s="83">
        <v>1500</v>
      </c>
      <c r="P10" s="98">
        <f t="shared" si="4"/>
        <v>2.0061790314167636E-2</v>
      </c>
      <c r="Q10" s="103">
        <v>0</v>
      </c>
      <c r="R10" s="96">
        <v>6461</v>
      </c>
      <c r="S10" s="98">
        <f>R10/R$11</f>
        <v>7.0537244669585247E-2</v>
      </c>
    </row>
    <row r="11" spans="1:22">
      <c r="A11" s="67"/>
      <c r="B11" s="94" t="s">
        <v>56</v>
      </c>
      <c r="C11" s="106">
        <v>125836</v>
      </c>
      <c r="D11" s="87"/>
      <c r="E11" s="84"/>
      <c r="F11" s="106">
        <v>157527</v>
      </c>
      <c r="G11" s="87"/>
      <c r="H11" s="84"/>
      <c r="I11" s="106">
        <v>101082</v>
      </c>
      <c r="J11" s="87"/>
      <c r="K11" s="84"/>
      <c r="L11" s="106">
        <v>87307</v>
      </c>
      <c r="M11" s="87"/>
      <c r="N11" s="82"/>
      <c r="O11" s="86">
        <v>74769</v>
      </c>
      <c r="P11" s="82"/>
      <c r="Q11" s="84"/>
      <c r="R11" s="97">
        <v>91597</v>
      </c>
      <c r="S11" s="82"/>
    </row>
    <row r="12" spans="1:22">
      <c r="B12" s="174"/>
    </row>
    <row r="16" spans="1:22">
      <c r="B16" s="344" t="s">
        <v>160</v>
      </c>
      <c r="C16" s="344"/>
      <c r="D16" s="344"/>
    </row>
    <row r="17" spans="2:19" ht="17">
      <c r="B17" s="177" t="s">
        <v>161</v>
      </c>
      <c r="C17" s="178">
        <v>45474</v>
      </c>
      <c r="D17" s="179">
        <v>45291</v>
      </c>
      <c r="R17"/>
      <c r="S17"/>
    </row>
    <row r="18" spans="2:19">
      <c r="B18" s="67" t="s">
        <v>162</v>
      </c>
      <c r="C18" s="181">
        <v>1015</v>
      </c>
      <c r="D18" s="67">
        <v>818</v>
      </c>
    </row>
    <row r="19" spans="2:19">
      <c r="B19" s="67" t="s">
        <v>163</v>
      </c>
      <c r="C19" s="67">
        <v>168</v>
      </c>
      <c r="D19" s="67">
        <v>0</v>
      </c>
    </row>
    <row r="20" spans="2:19">
      <c r="B20" s="67" t="s">
        <v>164</v>
      </c>
      <c r="C20" s="67">
        <v>131</v>
      </c>
      <c r="D20" s="67">
        <v>102</v>
      </c>
      <c r="E20" s="107"/>
    </row>
    <row r="21" spans="2:19">
      <c r="B21" s="67" t="s">
        <v>165</v>
      </c>
      <c r="C21" s="67">
        <v>82</v>
      </c>
      <c r="D21" s="67">
        <v>19</v>
      </c>
      <c r="E21" s="107"/>
    </row>
    <row r="22" spans="2:19">
      <c r="B22" s="67" t="s">
        <v>166</v>
      </c>
      <c r="C22" s="67">
        <v>64</v>
      </c>
      <c r="D22" s="67">
        <v>76</v>
      </c>
      <c r="E22" s="108"/>
    </row>
    <row r="23" spans="2:19">
      <c r="B23" s="286" t="s">
        <v>167</v>
      </c>
      <c r="C23" s="286">
        <v>47</v>
      </c>
      <c r="D23" s="286">
        <v>40</v>
      </c>
      <c r="E23" s="108"/>
    </row>
    <row r="24" spans="2:19">
      <c r="B24" s="175" t="s">
        <v>168</v>
      </c>
      <c r="C24" s="176">
        <f>SUM(C18:C23)</f>
        <v>1507</v>
      </c>
      <c r="D24" s="176">
        <f>SUM(D18:D23)</f>
        <v>1055</v>
      </c>
    </row>
    <row r="27" spans="2:19">
      <c r="B27" s="345" t="s">
        <v>169</v>
      </c>
      <c r="C27" s="345"/>
      <c r="D27" s="345"/>
    </row>
    <row r="28" spans="2:19">
      <c r="B28" s="175" t="s">
        <v>170</v>
      </c>
      <c r="C28" s="287">
        <v>45474</v>
      </c>
      <c r="D28" s="288">
        <v>45291</v>
      </c>
      <c r="R28"/>
      <c r="S28"/>
    </row>
    <row r="29" spans="2:19">
      <c r="B29" s="67" t="s">
        <v>171</v>
      </c>
      <c r="C29" s="181">
        <v>1401</v>
      </c>
      <c r="D29" s="181">
        <v>1070</v>
      </c>
      <c r="R29"/>
      <c r="S29"/>
    </row>
    <row r="30" spans="2:19">
      <c r="B30" s="67" t="s">
        <v>172</v>
      </c>
      <c r="C30" s="181">
        <v>1091</v>
      </c>
      <c r="D30" s="67">
        <v>600</v>
      </c>
      <c r="R30"/>
      <c r="S30"/>
    </row>
    <row r="31" spans="2:19">
      <c r="B31" s="67" t="s">
        <v>173</v>
      </c>
      <c r="C31" s="67">
        <v>252</v>
      </c>
      <c r="D31" s="67">
        <v>175</v>
      </c>
      <c r="R31"/>
      <c r="S31"/>
    </row>
    <row r="32" spans="2:19">
      <c r="B32" s="67" t="s">
        <v>174</v>
      </c>
      <c r="C32" s="67">
        <v>151</v>
      </c>
      <c r="D32" s="67">
        <v>45</v>
      </c>
      <c r="R32"/>
      <c r="S32"/>
    </row>
    <row r="33" spans="2:19">
      <c r="B33" s="67" t="s">
        <v>175</v>
      </c>
      <c r="C33" s="67">
        <v>126</v>
      </c>
      <c r="D33" s="67">
        <v>178</v>
      </c>
      <c r="R33"/>
      <c r="S33"/>
    </row>
    <row r="34" spans="2:19">
      <c r="B34" s="67" t="s">
        <v>118</v>
      </c>
      <c r="C34" s="67">
        <v>117</v>
      </c>
      <c r="D34" s="67">
        <v>42</v>
      </c>
      <c r="R34"/>
      <c r="S34"/>
    </row>
    <row r="35" spans="2:19">
      <c r="B35" s="175" t="s">
        <v>176</v>
      </c>
      <c r="C35" s="176">
        <f>SUM(C29:C34)</f>
        <v>3138</v>
      </c>
      <c r="D35" s="176">
        <f>SUM(D29:D34)</f>
        <v>2110</v>
      </c>
    </row>
    <row r="53" spans="7:16" ht="28.5" customHeight="1">
      <c r="G53" s="331" t="s">
        <v>177</v>
      </c>
      <c r="H53" s="332"/>
      <c r="I53" s="332"/>
      <c r="J53" s="332"/>
      <c r="K53" s="332"/>
      <c r="L53" s="333"/>
    </row>
    <row r="54" spans="7:16" ht="50.25" customHeight="1">
      <c r="G54" s="348"/>
      <c r="H54" s="348"/>
      <c r="I54" s="289">
        <v>45474</v>
      </c>
      <c r="J54" s="199" t="s">
        <v>178</v>
      </c>
      <c r="K54" s="289">
        <v>45291</v>
      </c>
      <c r="L54" s="184" t="s">
        <v>178</v>
      </c>
    </row>
    <row r="55" spans="7:16" ht="21" customHeight="1">
      <c r="G55" s="331" t="s">
        <v>179</v>
      </c>
      <c r="H55" s="332"/>
      <c r="I55" s="332"/>
      <c r="J55" s="332"/>
      <c r="K55" s="332"/>
      <c r="L55" s="333"/>
      <c r="N55" s="67"/>
      <c r="O55" s="289">
        <v>45474</v>
      </c>
      <c r="P55" s="289">
        <v>45291</v>
      </c>
    </row>
    <row r="56" spans="7:16">
      <c r="G56" s="330" t="s">
        <v>180</v>
      </c>
      <c r="H56" s="330"/>
      <c r="I56" s="317"/>
      <c r="J56" s="318"/>
      <c r="K56" s="318"/>
      <c r="L56" s="319"/>
      <c r="N56" s="67" t="s">
        <v>181</v>
      </c>
      <c r="O56" s="181">
        <f>I59</f>
        <v>7276</v>
      </c>
      <c r="P56" s="181">
        <f>K59</f>
        <v>19516</v>
      </c>
    </row>
    <row r="57" spans="7:16" ht="25.5" customHeight="1">
      <c r="G57" s="346" t="s">
        <v>182</v>
      </c>
      <c r="H57" s="347"/>
      <c r="I57" s="196">
        <v>7220</v>
      </c>
      <c r="J57" s="188">
        <f>I57/$I$71</f>
        <v>5.95901321382293E-2</v>
      </c>
      <c r="K57" s="205">
        <v>19504</v>
      </c>
      <c r="L57" s="188">
        <f>K57/$K$71</f>
        <v>0.12637280755748784</v>
      </c>
      <c r="N57" s="80" t="s">
        <v>183</v>
      </c>
      <c r="O57" s="67">
        <f>I60</f>
        <v>0</v>
      </c>
      <c r="P57" s="67">
        <f>K60</f>
        <v>0</v>
      </c>
    </row>
    <row r="58" spans="7:16">
      <c r="G58" s="335" t="s">
        <v>184</v>
      </c>
      <c r="H58" s="336"/>
      <c r="I58" s="189">
        <v>56</v>
      </c>
      <c r="J58" s="188">
        <f>I58/$I$71</f>
        <v>4.6219493071202782E-4</v>
      </c>
      <c r="K58" s="189">
        <v>12</v>
      </c>
      <c r="L58" s="188">
        <f t="shared" ref="L58:L60" si="10">K58/$K$71</f>
        <v>7.7751932459488009E-5</v>
      </c>
      <c r="N58" s="67" t="s">
        <v>185</v>
      </c>
      <c r="O58" s="181">
        <f>I69</f>
        <v>27665</v>
      </c>
      <c r="P58" s="181">
        <f>K65</f>
        <v>107305</v>
      </c>
    </row>
    <row r="59" spans="7:16">
      <c r="G59" s="337" t="s">
        <v>186</v>
      </c>
      <c r="H59" s="338"/>
      <c r="I59" s="190">
        <f>SUM(I57:I58)</f>
        <v>7276</v>
      </c>
      <c r="J59" s="191">
        <f>I59/$I$71</f>
        <v>6.0052327068941327E-2</v>
      </c>
      <c r="K59" s="205">
        <f>K57+K58</f>
        <v>19516</v>
      </c>
      <c r="L59" s="188">
        <f t="shared" si="10"/>
        <v>0.12645055948994732</v>
      </c>
      <c r="N59" s="67" t="s">
        <v>187</v>
      </c>
      <c r="O59" s="181">
        <f>I65</f>
        <v>86220</v>
      </c>
      <c r="P59" s="181">
        <f>K69</f>
        <v>27516</v>
      </c>
    </row>
    <row r="60" spans="7:16" ht="27" customHeight="1">
      <c r="G60" s="329" t="s">
        <v>188</v>
      </c>
      <c r="H60" s="329"/>
      <c r="I60" s="192">
        <f>C6</f>
        <v>0</v>
      </c>
      <c r="J60" s="193">
        <f>I60/$I$71</f>
        <v>0</v>
      </c>
      <c r="K60" s="192">
        <f>F6</f>
        <v>0</v>
      </c>
      <c r="L60" s="194">
        <f t="shared" si="10"/>
        <v>0</v>
      </c>
    </row>
    <row r="61" spans="7:16" ht="15.75" customHeight="1">
      <c r="G61" s="334" t="s">
        <v>189</v>
      </c>
      <c r="H61" s="334"/>
      <c r="I61" s="334"/>
      <c r="J61" s="334"/>
      <c r="K61" s="334"/>
      <c r="L61" s="334"/>
    </row>
    <row r="62" spans="7:16">
      <c r="G62" s="326" t="s">
        <v>190</v>
      </c>
      <c r="H62" s="326"/>
      <c r="I62" s="320"/>
      <c r="J62" s="320"/>
      <c r="K62" s="320"/>
      <c r="L62" s="320"/>
    </row>
    <row r="63" spans="7:16">
      <c r="G63" s="189" t="s">
        <v>191</v>
      </c>
      <c r="H63" s="189"/>
      <c r="I63" s="196">
        <v>16177</v>
      </c>
      <c r="J63" s="188">
        <f>I63/$I$71</f>
        <v>0.13351656060943703</v>
      </c>
      <c r="K63" s="205">
        <v>49938</v>
      </c>
      <c r="L63" s="188">
        <f>K63/$K$71</f>
        <v>0.32356466693015934</v>
      </c>
    </row>
    <row r="64" spans="7:16">
      <c r="G64" s="189" t="s">
        <v>192</v>
      </c>
      <c r="H64" s="206"/>
      <c r="I64" s="197">
        <v>70043</v>
      </c>
      <c r="J64" s="188">
        <f>I64/$I$71</f>
        <v>0.57809856306897434</v>
      </c>
      <c r="K64" s="197">
        <v>57367</v>
      </c>
      <c r="L64" s="188">
        <f t="shared" ref="L64:L70" si="11">K64/$K$71</f>
        <v>0.37169959245028733</v>
      </c>
    </row>
    <row r="65" spans="7:20">
      <c r="G65" s="328" t="s">
        <v>193</v>
      </c>
      <c r="H65" s="328"/>
      <c r="I65" s="190">
        <f>SUM(I63:I64)</f>
        <v>86220</v>
      </c>
      <c r="J65" s="191">
        <f>I65/$I$71</f>
        <v>0.7116151236784114</v>
      </c>
      <c r="K65" s="190">
        <f>K63+K64</f>
        <v>107305</v>
      </c>
      <c r="L65" s="188">
        <f t="shared" si="11"/>
        <v>0.69526425938044667</v>
      </c>
    </row>
    <row r="66" spans="7:20">
      <c r="G66" s="326" t="s">
        <v>194</v>
      </c>
      <c r="H66" s="326"/>
      <c r="I66" s="320"/>
      <c r="J66" s="320"/>
      <c r="K66" s="320"/>
      <c r="L66" s="320"/>
    </row>
    <row r="67" spans="7:20">
      <c r="G67" s="189" t="s">
        <v>195</v>
      </c>
      <c r="H67" s="189"/>
      <c r="I67" s="196">
        <v>8883</v>
      </c>
      <c r="J67" s="188">
        <f>I67/$I$71</f>
        <v>7.3315670884195411E-2</v>
      </c>
      <c r="K67" s="205">
        <v>7230</v>
      </c>
      <c r="L67" s="188">
        <f t="shared" si="11"/>
        <v>4.6845539306841523E-2</v>
      </c>
    </row>
    <row r="68" spans="7:20" ht="15.75" customHeight="1">
      <c r="G68" s="189" t="s">
        <v>196</v>
      </c>
      <c r="H68" s="189"/>
      <c r="I68" s="197">
        <v>18782</v>
      </c>
      <c r="J68" s="188">
        <f>I68/$I$71</f>
        <v>0.1550168783684519</v>
      </c>
      <c r="K68" s="197">
        <v>20286</v>
      </c>
      <c r="L68" s="188">
        <f t="shared" si="11"/>
        <v>0.13143964182276446</v>
      </c>
    </row>
    <row r="69" spans="7:20" ht="18" customHeight="1">
      <c r="G69" s="328" t="s">
        <v>197</v>
      </c>
      <c r="H69" s="328"/>
      <c r="I69" s="190">
        <f>SUM(I67:I68)</f>
        <v>27665</v>
      </c>
      <c r="J69" s="191">
        <f>I69/$I$71</f>
        <v>0.22833254925264732</v>
      </c>
      <c r="K69" s="190">
        <f>K67+K68</f>
        <v>27516</v>
      </c>
      <c r="L69" s="188">
        <f t="shared" si="11"/>
        <v>0.17828518112960598</v>
      </c>
    </row>
    <row r="70" spans="7:20" ht="35.25" customHeight="1">
      <c r="G70" s="326" t="s">
        <v>198</v>
      </c>
      <c r="H70" s="326"/>
      <c r="I70" s="195">
        <f>I65+I69</f>
        <v>113885</v>
      </c>
      <c r="J70" s="193">
        <f>I70/$I$71</f>
        <v>0.93994767293105863</v>
      </c>
      <c r="K70" s="195">
        <f>K65+K69</f>
        <v>134821</v>
      </c>
      <c r="L70" s="194">
        <f t="shared" si="11"/>
        <v>0.87354944051005268</v>
      </c>
    </row>
    <row r="71" spans="7:20" ht="57" customHeight="1">
      <c r="G71" s="325" t="s">
        <v>199</v>
      </c>
      <c r="H71" s="325"/>
      <c r="I71" s="180">
        <f>I59+I65+I69+I60</f>
        <v>121161</v>
      </c>
      <c r="J71" s="186"/>
      <c r="K71" s="180">
        <f>K59+K65+K69</f>
        <v>154337</v>
      </c>
      <c r="L71" s="198"/>
    </row>
    <row r="74" spans="7:20" ht="15.75" customHeight="1">
      <c r="G74" s="321" t="s">
        <v>200</v>
      </c>
      <c r="H74" s="322"/>
      <c r="I74" s="322"/>
      <c r="J74" s="322"/>
      <c r="K74" s="322"/>
      <c r="L74" s="322"/>
      <c r="M74" s="322"/>
      <c r="N74" s="322"/>
    </row>
    <row r="75" spans="7:20" ht="32.25" customHeight="1">
      <c r="G75" s="327" t="s">
        <v>190</v>
      </c>
      <c r="H75" s="327"/>
      <c r="I75" s="289">
        <v>45474</v>
      </c>
      <c r="J75" s="199" t="s">
        <v>201</v>
      </c>
      <c r="K75" s="289">
        <v>45291</v>
      </c>
      <c r="L75" s="199" t="s">
        <v>201</v>
      </c>
      <c r="M75" s="289">
        <v>44926</v>
      </c>
      <c r="N75" s="185" t="s">
        <v>201</v>
      </c>
      <c r="Q75" s="67"/>
      <c r="R75" s="289" t="s">
        <v>202</v>
      </c>
      <c r="S75" s="289" t="s">
        <v>203</v>
      </c>
      <c r="T75" s="289" t="s">
        <v>204</v>
      </c>
    </row>
    <row r="76" spans="7:20" ht="34">
      <c r="G76" s="291" t="s">
        <v>191</v>
      </c>
      <c r="H76" s="292"/>
      <c r="I76" s="201">
        <v>16177</v>
      </c>
      <c r="J76" s="202">
        <f>I76/$I$83</f>
        <v>0.14204680159810334</v>
      </c>
      <c r="K76" s="293">
        <v>49938</v>
      </c>
      <c r="L76" s="202">
        <f>K76/$K$83</f>
        <v>0.37040223704022368</v>
      </c>
      <c r="M76" s="209">
        <v>11158</v>
      </c>
      <c r="N76" s="217">
        <f>M76/$M$83</f>
        <v>0.11887031651166012</v>
      </c>
      <c r="Q76" s="294" t="s">
        <v>205</v>
      </c>
      <c r="R76" s="181">
        <f>I76</f>
        <v>16177</v>
      </c>
      <c r="S76" s="181">
        <f>K76</f>
        <v>49938</v>
      </c>
      <c r="T76" s="211">
        <f>M76</f>
        <v>11158</v>
      </c>
    </row>
    <row r="77" spans="7:20" ht="34">
      <c r="G77" s="291" t="s">
        <v>192</v>
      </c>
      <c r="H77" s="295"/>
      <c r="I77" s="200">
        <v>70043</v>
      </c>
      <c r="J77" s="202">
        <f>I77/$I$83</f>
        <v>0.61503270843394653</v>
      </c>
      <c r="K77" s="200">
        <v>57367</v>
      </c>
      <c r="L77" s="202">
        <f t="shared" ref="L77:L82" si="12">K77/$K$83</f>
        <v>0.42550492875738943</v>
      </c>
      <c r="M77" s="210">
        <v>59078</v>
      </c>
      <c r="N77" s="217">
        <f t="shared" ref="N77:N82" si="13">M77/$M$83</f>
        <v>0.62937986725899409</v>
      </c>
      <c r="Q77" s="294" t="s">
        <v>206</v>
      </c>
      <c r="R77" s="181">
        <f>I77</f>
        <v>70043</v>
      </c>
      <c r="S77" s="181">
        <f>K77</f>
        <v>57367</v>
      </c>
      <c r="T77" s="211">
        <f>M77</f>
        <v>59078</v>
      </c>
    </row>
    <row r="78" spans="7:20" ht="34">
      <c r="G78" s="323" t="s">
        <v>193</v>
      </c>
      <c r="H78" s="323"/>
      <c r="I78" s="296">
        <f>SUM(I76:I77)</f>
        <v>86220</v>
      </c>
      <c r="J78" s="203">
        <f>I78/$I$83</f>
        <v>0.75707951003204987</v>
      </c>
      <c r="K78" s="296">
        <f>K76+K77</f>
        <v>107305</v>
      </c>
      <c r="L78" s="203">
        <f t="shared" si="12"/>
        <v>0.79590716579761311</v>
      </c>
      <c r="M78" s="182">
        <f>M76+M77</f>
        <v>70236</v>
      </c>
      <c r="N78" s="297">
        <f t="shared" si="13"/>
        <v>0.74825018377065422</v>
      </c>
      <c r="Q78" s="80" t="s">
        <v>207</v>
      </c>
      <c r="R78" s="181">
        <f>I80</f>
        <v>8883</v>
      </c>
      <c r="S78" s="181">
        <f>K80</f>
        <v>7230</v>
      </c>
      <c r="T78" s="211">
        <f>M80</f>
        <v>4442</v>
      </c>
    </row>
    <row r="79" spans="7:20" ht="34">
      <c r="G79" s="327" t="s">
        <v>194</v>
      </c>
      <c r="H79" s="327"/>
      <c r="I79" s="298"/>
      <c r="J79" s="204"/>
      <c r="K79" s="104"/>
      <c r="L79" s="204"/>
      <c r="M79" s="84"/>
      <c r="N79" s="299"/>
      <c r="Q79" s="80" t="s">
        <v>208</v>
      </c>
      <c r="R79" s="181">
        <f>I81</f>
        <v>18782</v>
      </c>
      <c r="S79" s="181">
        <f>K81</f>
        <v>20286</v>
      </c>
      <c r="T79" s="211">
        <f>M81</f>
        <v>19189</v>
      </c>
    </row>
    <row r="80" spans="7:20">
      <c r="G80" s="292" t="s">
        <v>195</v>
      </c>
      <c r="H80" s="292"/>
      <c r="I80" s="201">
        <v>8883</v>
      </c>
      <c r="J80" s="202">
        <f>I80/$I$83</f>
        <v>7.7999736576370896E-2</v>
      </c>
      <c r="K80" s="293">
        <v>7230</v>
      </c>
      <c r="L80" s="202">
        <f t="shared" si="12"/>
        <v>5.3626660535079848E-2</v>
      </c>
      <c r="M80" s="209">
        <v>4442</v>
      </c>
      <c r="N80" s="217">
        <f t="shared" si="13"/>
        <v>4.7322275133966141E-2</v>
      </c>
    </row>
    <row r="81" spans="7:21">
      <c r="G81" s="292" t="s">
        <v>196</v>
      </c>
      <c r="H81" s="292"/>
      <c r="I81" s="200">
        <v>18782</v>
      </c>
      <c r="J81" s="202">
        <f>I81/$I$83</f>
        <v>0.16492075339157922</v>
      </c>
      <c r="K81" s="200">
        <v>20286</v>
      </c>
      <c r="L81" s="202">
        <f t="shared" si="12"/>
        <v>0.15046617366730702</v>
      </c>
      <c r="M81" s="210">
        <v>19189</v>
      </c>
      <c r="N81" s="217">
        <f t="shared" si="13"/>
        <v>0.20442754109537964</v>
      </c>
    </row>
    <row r="82" spans="7:21" ht="15.75" customHeight="1">
      <c r="G82" s="323" t="s">
        <v>197</v>
      </c>
      <c r="H82" s="323"/>
      <c r="I82" s="296">
        <f>SUM(I80:I81)</f>
        <v>27665</v>
      </c>
      <c r="J82" s="203">
        <f>I82/$I$83</f>
        <v>0.24292048996795013</v>
      </c>
      <c r="K82" s="296">
        <f>K80+K81</f>
        <v>27516</v>
      </c>
      <c r="L82" s="203">
        <f t="shared" si="12"/>
        <v>0.20409283420238686</v>
      </c>
      <c r="M82" s="182">
        <f>M80+M81</f>
        <v>23631</v>
      </c>
      <c r="N82" s="297">
        <f t="shared" si="13"/>
        <v>0.25174981622934578</v>
      </c>
      <c r="R82" s="212"/>
      <c r="S82" s="212"/>
      <c r="T82" s="212"/>
      <c r="U82" s="212"/>
    </row>
    <row r="83" spans="7:21" ht="15.75" customHeight="1">
      <c r="G83" s="324" t="s">
        <v>198</v>
      </c>
      <c r="H83" s="324"/>
      <c r="I83" s="300">
        <f>I78+I82</f>
        <v>113885</v>
      </c>
      <c r="J83" s="202"/>
      <c r="K83" s="300">
        <f>K78+K82</f>
        <v>134821</v>
      </c>
      <c r="L83" s="202"/>
      <c r="M83" s="97">
        <f>M78+M82</f>
        <v>93867</v>
      </c>
      <c r="N83" s="217"/>
    </row>
    <row r="86" spans="7:21" ht="15.75" customHeight="1">
      <c r="G86" s="183"/>
      <c r="H86" s="316" t="s">
        <v>209</v>
      </c>
      <c r="I86" s="316"/>
      <c r="J86" s="316"/>
      <c r="K86" s="316"/>
      <c r="L86" s="316"/>
      <c r="O86" s="315" t="s">
        <v>209</v>
      </c>
      <c r="P86" s="315"/>
      <c r="Q86" s="315"/>
    </row>
    <row r="87" spans="7:21" ht="15.75" customHeight="1">
      <c r="G87" s="183"/>
      <c r="H87" s="104"/>
      <c r="I87" s="104"/>
      <c r="J87" s="289"/>
      <c r="K87" s="82" t="s">
        <v>210</v>
      </c>
      <c r="L87" s="82" t="s">
        <v>211</v>
      </c>
      <c r="O87" s="67"/>
      <c r="P87" s="175" t="s">
        <v>210</v>
      </c>
      <c r="Q87" s="219" t="s">
        <v>211</v>
      </c>
    </row>
    <row r="88" spans="7:21">
      <c r="G88" s="207">
        <v>45474</v>
      </c>
      <c r="H88" s="290" t="s">
        <v>48</v>
      </c>
      <c r="I88" s="290"/>
      <c r="J88" s="181">
        <v>7276</v>
      </c>
      <c r="K88" s="187">
        <f>J88/J89</f>
        <v>5.7821291204424807E-2</v>
      </c>
      <c r="L88" s="187">
        <f>J88/J90</f>
        <v>4.9899528848593749E-2</v>
      </c>
      <c r="O88" s="220">
        <v>45474</v>
      </c>
      <c r="P88" s="221">
        <v>5.7821291204424807E-2</v>
      </c>
      <c r="Q88" s="222">
        <v>4.9899528848593749E-2</v>
      </c>
    </row>
    <row r="89" spans="7:21">
      <c r="G89" s="208"/>
      <c r="H89" s="82" t="s">
        <v>212</v>
      </c>
      <c r="I89" s="82"/>
      <c r="J89" s="181">
        <f>C11</f>
        <v>125836</v>
      </c>
      <c r="K89" s="187"/>
      <c r="L89" s="187"/>
      <c r="O89" s="215">
        <v>45291</v>
      </c>
      <c r="P89" s="216">
        <v>0.15509075304364411</v>
      </c>
      <c r="Q89" s="216">
        <v>0.13384266149108789</v>
      </c>
    </row>
    <row r="90" spans="7:21" ht="16" customHeight="1">
      <c r="G90" s="208"/>
      <c r="H90" s="82" t="s">
        <v>213</v>
      </c>
      <c r="I90" s="82"/>
      <c r="J90" s="181">
        <f>Показатели!B38</f>
        <v>145813</v>
      </c>
      <c r="K90" s="187"/>
      <c r="L90" s="187"/>
      <c r="O90" s="220">
        <v>44926</v>
      </c>
      <c r="P90" s="222">
        <v>3.5427063797323501E-2</v>
      </c>
      <c r="Q90" s="222">
        <v>3.0573405663418214E-2</v>
      </c>
    </row>
    <row r="91" spans="7:21">
      <c r="G91" s="207">
        <v>45291</v>
      </c>
      <c r="H91" s="290" t="s">
        <v>48</v>
      </c>
      <c r="I91" s="290"/>
      <c r="J91" s="181">
        <f>K59</f>
        <v>19516</v>
      </c>
      <c r="K91" s="187">
        <f>J91/J92</f>
        <v>0.15509075304364411</v>
      </c>
      <c r="L91" s="187">
        <f>J91/J93</f>
        <v>0.13384266149108789</v>
      </c>
      <c r="O91" s="215">
        <v>44561</v>
      </c>
      <c r="P91" s="217">
        <v>3.0952986426777712E-2</v>
      </c>
      <c r="Q91" s="218">
        <v>2.6712295885826368E-2</v>
      </c>
      <c r="R91" s="301"/>
      <c r="U91" s="213"/>
    </row>
    <row r="92" spans="7:21">
      <c r="G92" s="208"/>
      <c r="H92" s="82" t="s">
        <v>212</v>
      </c>
      <c r="I92" s="82"/>
      <c r="J92" s="181">
        <v>125836</v>
      </c>
      <c r="K92" s="187"/>
      <c r="L92" s="187"/>
      <c r="O92" s="220">
        <v>44196</v>
      </c>
      <c r="P92" s="221">
        <v>3.7350201850027019E-3</v>
      </c>
      <c r="Q92" s="222">
        <v>3.2233065638866219E-3</v>
      </c>
      <c r="U92" s="66"/>
    </row>
    <row r="93" spans="7:21">
      <c r="G93" s="208"/>
      <c r="H93" s="82" t="s">
        <v>213</v>
      </c>
      <c r="I93" s="82"/>
      <c r="J93" s="181">
        <v>145813</v>
      </c>
      <c r="K93" s="187"/>
      <c r="L93" s="187"/>
      <c r="O93" s="214"/>
      <c r="U93" s="66"/>
    </row>
    <row r="94" spans="7:21">
      <c r="G94" s="207">
        <v>44926</v>
      </c>
      <c r="H94" s="290" t="s">
        <v>48</v>
      </c>
      <c r="I94" s="290"/>
      <c r="J94" s="181">
        <f>I4</f>
        <v>4458</v>
      </c>
      <c r="K94" s="187">
        <f>J94/J95</f>
        <v>3.5427063797323501E-2</v>
      </c>
      <c r="L94" s="187">
        <f>J94/J96</f>
        <v>3.0573405663418214E-2</v>
      </c>
      <c r="R94"/>
    </row>
    <row r="95" spans="7:21">
      <c r="G95" s="208"/>
      <c r="H95" s="82" t="s">
        <v>212</v>
      </c>
      <c r="I95" s="82"/>
      <c r="J95" s="181">
        <v>125836</v>
      </c>
      <c r="K95" s="187"/>
      <c r="L95" s="187"/>
      <c r="O95" s="214"/>
      <c r="Q95"/>
    </row>
    <row r="96" spans="7:21">
      <c r="G96" s="208"/>
      <c r="H96" s="82" t="s">
        <v>213</v>
      </c>
      <c r="I96" s="82"/>
      <c r="J96" s="181">
        <v>145813</v>
      </c>
      <c r="K96" s="187"/>
      <c r="L96" s="187"/>
      <c r="O96" s="214"/>
      <c r="Q96"/>
    </row>
    <row r="97" spans="7:17">
      <c r="G97" s="207">
        <v>44561</v>
      </c>
      <c r="H97" s="290" t="s">
        <v>48</v>
      </c>
      <c r="I97" s="290"/>
      <c r="J97" s="181">
        <f>L4</f>
        <v>3895</v>
      </c>
      <c r="K97" s="187">
        <f>J97/J98</f>
        <v>3.0952986426777712E-2</v>
      </c>
      <c r="L97" s="187">
        <f>J97/J99</f>
        <v>2.6712295885826368E-2</v>
      </c>
    </row>
    <row r="98" spans="7:17">
      <c r="G98" s="208"/>
      <c r="H98" s="82" t="s">
        <v>212</v>
      </c>
      <c r="I98" s="82"/>
      <c r="J98" s="181">
        <v>125836</v>
      </c>
      <c r="K98" s="187"/>
      <c r="L98" s="187"/>
      <c r="O98" s="214"/>
      <c r="Q98"/>
    </row>
    <row r="99" spans="7:17">
      <c r="G99" s="208"/>
      <c r="H99" s="82" t="s">
        <v>213</v>
      </c>
      <c r="I99" s="82"/>
      <c r="J99" s="181">
        <v>145813</v>
      </c>
      <c r="K99" s="187"/>
      <c r="L99" s="187"/>
      <c r="O99" s="214"/>
      <c r="Q99"/>
    </row>
    <row r="100" spans="7:17">
      <c r="G100" s="207">
        <v>44196</v>
      </c>
      <c r="H100" s="290" t="s">
        <v>48</v>
      </c>
      <c r="I100" s="290"/>
      <c r="J100" s="181">
        <f>O4</f>
        <v>470</v>
      </c>
      <c r="K100" s="187">
        <f>J100/J101</f>
        <v>3.7350201850027019E-3</v>
      </c>
      <c r="L100" s="187">
        <f>J100/J102</f>
        <v>3.2233065638866219E-3</v>
      </c>
    </row>
    <row r="101" spans="7:17">
      <c r="G101" s="208"/>
      <c r="H101" s="82" t="s">
        <v>212</v>
      </c>
      <c r="I101" s="82"/>
      <c r="J101" s="181">
        <v>125836</v>
      </c>
      <c r="K101" s="187"/>
      <c r="L101" s="187"/>
    </row>
    <row r="102" spans="7:17">
      <c r="G102" s="208"/>
      <c r="H102" s="82" t="s">
        <v>213</v>
      </c>
      <c r="I102" s="82"/>
      <c r="J102" s="181">
        <v>145813</v>
      </c>
      <c r="K102" s="187"/>
      <c r="L102" s="187"/>
    </row>
  </sheetData>
  <mergeCells count="30">
    <mergeCell ref="A2:R2"/>
    <mergeCell ref="U1:V1"/>
    <mergeCell ref="B16:D16"/>
    <mergeCell ref="B27:D27"/>
    <mergeCell ref="G57:H57"/>
    <mergeCell ref="G53:L53"/>
    <mergeCell ref="G54:H54"/>
    <mergeCell ref="G66:H66"/>
    <mergeCell ref="G56:H56"/>
    <mergeCell ref="G55:L55"/>
    <mergeCell ref="G61:L61"/>
    <mergeCell ref="I62:L62"/>
    <mergeCell ref="G58:H58"/>
    <mergeCell ref="G59:H59"/>
    <mergeCell ref="O86:Q86"/>
    <mergeCell ref="H86:L86"/>
    <mergeCell ref="I56:L56"/>
    <mergeCell ref="I66:L66"/>
    <mergeCell ref="G74:N74"/>
    <mergeCell ref="G82:H82"/>
    <mergeCell ref="G83:H83"/>
    <mergeCell ref="G71:H71"/>
    <mergeCell ref="G70:H70"/>
    <mergeCell ref="G75:H75"/>
    <mergeCell ref="G78:H78"/>
    <mergeCell ref="G79:H79"/>
    <mergeCell ref="G69:H69"/>
    <mergeCell ref="G60:H60"/>
    <mergeCell ref="G65:H65"/>
    <mergeCell ref="G62:H6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E6C7F-76A0-4CD5-8293-8904FD7995DB}">
  <dimension ref="A1:G36"/>
  <sheetViews>
    <sheetView zoomScale="75" workbookViewId="0">
      <selection activeCell="A12" sqref="A12:G36"/>
    </sheetView>
  </sheetViews>
  <sheetFormatPr baseColWidth="10" defaultColWidth="11" defaultRowHeight="16"/>
  <cols>
    <col min="1" max="1" width="87.83203125" customWidth="1"/>
  </cols>
  <sheetData>
    <row r="1" spans="1:7">
      <c r="A1" s="350" t="s">
        <v>214</v>
      </c>
      <c r="B1" s="350"/>
      <c r="C1" s="350"/>
      <c r="D1" s="350"/>
      <c r="E1" s="350"/>
      <c r="F1" s="350"/>
      <c r="G1" s="350"/>
    </row>
    <row r="2" spans="1:7">
      <c r="A2" s="33"/>
      <c r="B2" s="33">
        <v>2024</v>
      </c>
      <c r="C2" s="33">
        <v>2023</v>
      </c>
      <c r="D2" s="33">
        <v>2022</v>
      </c>
      <c r="E2" s="33">
        <v>2021</v>
      </c>
      <c r="F2" s="33">
        <v>2020</v>
      </c>
      <c r="G2" s="33">
        <v>2019</v>
      </c>
    </row>
    <row r="3" spans="1:7">
      <c r="A3" s="33" t="s">
        <v>146</v>
      </c>
      <c r="B3" s="33">
        <v>10316</v>
      </c>
      <c r="C3" s="33">
        <v>12693</v>
      </c>
      <c r="D3" s="33">
        <v>11966</v>
      </c>
      <c r="E3" s="33">
        <v>7413</v>
      </c>
      <c r="F3" s="33">
        <v>751</v>
      </c>
      <c r="G3" s="33">
        <v>9142</v>
      </c>
    </row>
    <row r="4" spans="1:7">
      <c r="A4" s="33" t="s">
        <v>11</v>
      </c>
      <c r="B4" s="33">
        <v>77</v>
      </c>
      <c r="C4" s="33">
        <v>105</v>
      </c>
      <c r="D4" s="33">
        <v>123</v>
      </c>
      <c r="E4" s="33">
        <v>147</v>
      </c>
      <c r="F4" s="33">
        <v>112</v>
      </c>
      <c r="G4" s="33">
        <v>161</v>
      </c>
    </row>
    <row r="5" spans="1:7">
      <c r="A5" s="33" t="s">
        <v>215</v>
      </c>
      <c r="B5" s="33">
        <v>-6082</v>
      </c>
      <c r="C5" s="33">
        <v>-6434</v>
      </c>
      <c r="D5" s="33">
        <v>-6270</v>
      </c>
      <c r="E5" s="33">
        <v>-2969</v>
      </c>
      <c r="F5" s="33">
        <v>-3880</v>
      </c>
      <c r="G5" s="33">
        <v>-5021</v>
      </c>
    </row>
    <row r="6" spans="1:7">
      <c r="A6" s="33" t="s">
        <v>15</v>
      </c>
      <c r="B6" s="33">
        <v>-24</v>
      </c>
      <c r="C6" s="33">
        <v>-50</v>
      </c>
      <c r="D6" s="33">
        <v>-56</v>
      </c>
      <c r="E6" s="35" t="s">
        <v>27</v>
      </c>
      <c r="F6" s="35" t="s">
        <v>27</v>
      </c>
      <c r="G6" s="35" t="s">
        <v>27</v>
      </c>
    </row>
    <row r="7" spans="1:7">
      <c r="A7" s="34" t="s">
        <v>17</v>
      </c>
      <c r="B7" s="34">
        <v>4287</v>
      </c>
      <c r="C7" s="34">
        <v>6314</v>
      </c>
      <c r="D7" s="34">
        <v>5763</v>
      </c>
      <c r="E7" s="34">
        <v>4591</v>
      </c>
      <c r="F7" s="34">
        <v>3742</v>
      </c>
      <c r="G7" s="34">
        <v>4282</v>
      </c>
    </row>
    <row r="8" spans="1:7">
      <c r="A8" s="33" t="s">
        <v>19</v>
      </c>
      <c r="B8" s="33">
        <v>-313</v>
      </c>
      <c r="C8" s="33">
        <v>-810</v>
      </c>
      <c r="D8" s="33">
        <v>-1054</v>
      </c>
      <c r="E8" s="33">
        <v>-190</v>
      </c>
      <c r="F8" s="33">
        <v>-872</v>
      </c>
      <c r="G8" s="33">
        <v>14</v>
      </c>
    </row>
    <row r="9" spans="1:7">
      <c r="A9" s="34" t="s">
        <v>21</v>
      </c>
      <c r="B9" s="34">
        <v>3974</v>
      </c>
      <c r="C9" s="34">
        <v>5504</v>
      </c>
      <c r="D9" s="34">
        <v>4709</v>
      </c>
      <c r="E9" s="34">
        <v>4401</v>
      </c>
      <c r="F9" s="34">
        <v>2870</v>
      </c>
      <c r="G9" s="34">
        <v>4296</v>
      </c>
    </row>
    <row r="10" spans="1:7">
      <c r="A10" s="33" t="s">
        <v>23</v>
      </c>
      <c r="B10" s="33">
        <v>641</v>
      </c>
      <c r="C10" s="33">
        <v>981</v>
      </c>
      <c r="D10" s="33">
        <v>715</v>
      </c>
      <c r="E10" s="33">
        <v>512</v>
      </c>
      <c r="F10" s="33">
        <v>395</v>
      </c>
      <c r="G10" s="33">
        <v>416</v>
      </c>
    </row>
    <row r="11" spans="1:7">
      <c r="A11" s="33" t="s">
        <v>25</v>
      </c>
      <c r="B11" s="33">
        <v>-124</v>
      </c>
      <c r="C11" s="33">
        <v>-193</v>
      </c>
      <c r="D11" s="33">
        <v>-190</v>
      </c>
      <c r="E11" s="33">
        <v>-237</v>
      </c>
      <c r="F11" s="33">
        <v>-201</v>
      </c>
      <c r="G11" s="33">
        <v>-209</v>
      </c>
    </row>
    <row r="12" spans="1:7">
      <c r="A12" s="33" t="s">
        <v>26</v>
      </c>
      <c r="B12" s="33" t="s">
        <v>27</v>
      </c>
      <c r="C12" s="35" t="s">
        <v>27</v>
      </c>
      <c r="D12" s="35" t="s">
        <v>27</v>
      </c>
      <c r="E12" s="35" t="s">
        <v>27</v>
      </c>
      <c r="F12" s="33">
        <v>191</v>
      </c>
      <c r="G12" s="33">
        <v>237</v>
      </c>
    </row>
    <row r="13" spans="1:7">
      <c r="A13" s="33" t="s">
        <v>216</v>
      </c>
      <c r="B13" s="33" t="s">
        <v>27</v>
      </c>
      <c r="C13" s="35" t="s">
        <v>27</v>
      </c>
      <c r="D13" s="35" t="s">
        <v>27</v>
      </c>
      <c r="E13" s="35" t="s">
        <v>27</v>
      </c>
      <c r="F13" s="33">
        <v>-43</v>
      </c>
      <c r="G13" s="33">
        <v>-200</v>
      </c>
    </row>
    <row r="14" spans="1:7">
      <c r="A14" s="33" t="s">
        <v>217</v>
      </c>
      <c r="B14" s="33" t="s">
        <v>27</v>
      </c>
      <c r="C14" s="35" t="s">
        <v>27</v>
      </c>
      <c r="D14" s="35" t="s">
        <v>27</v>
      </c>
      <c r="E14" s="35" t="s">
        <v>27</v>
      </c>
      <c r="F14" s="33">
        <v>-49</v>
      </c>
      <c r="G14" s="33">
        <v>12</v>
      </c>
    </row>
    <row r="15" spans="1:7">
      <c r="A15" s="33" t="s">
        <v>218</v>
      </c>
      <c r="B15" s="33" t="s">
        <v>27</v>
      </c>
      <c r="C15" s="35" t="s">
        <v>27</v>
      </c>
      <c r="D15" s="35" t="s">
        <v>27</v>
      </c>
      <c r="E15" s="35" t="s">
        <v>27</v>
      </c>
      <c r="F15" s="33">
        <v>-4</v>
      </c>
      <c r="G15" s="33">
        <v>-22</v>
      </c>
    </row>
    <row r="16" spans="1:7">
      <c r="A16" s="33" t="s">
        <v>36</v>
      </c>
      <c r="B16" s="33">
        <v>277</v>
      </c>
      <c r="C16" s="33">
        <v>657</v>
      </c>
      <c r="D16" s="33">
        <v>777</v>
      </c>
      <c r="E16" s="33">
        <v>126</v>
      </c>
      <c r="F16" s="35" t="s">
        <v>27</v>
      </c>
      <c r="G16" s="35" t="s">
        <v>27</v>
      </c>
    </row>
    <row r="17" spans="1:7">
      <c r="A17" s="33" t="s">
        <v>34</v>
      </c>
      <c r="B17" s="35" t="s">
        <v>27</v>
      </c>
      <c r="C17" s="35" t="s">
        <v>27</v>
      </c>
      <c r="D17" s="35" t="s">
        <v>27</v>
      </c>
      <c r="E17" s="35" t="s">
        <v>27</v>
      </c>
      <c r="F17" s="33">
        <v>115</v>
      </c>
      <c r="G17" s="33">
        <v>58</v>
      </c>
    </row>
    <row r="18" spans="1:7">
      <c r="A18" s="33" t="s">
        <v>38</v>
      </c>
      <c r="B18" s="35" t="s">
        <v>27</v>
      </c>
      <c r="C18" s="33"/>
      <c r="D18" s="33"/>
      <c r="E18" s="33">
        <v>47</v>
      </c>
      <c r="F18" s="33">
        <v>413</v>
      </c>
      <c r="G18" s="33">
        <v>334</v>
      </c>
    </row>
    <row r="19" spans="1:7">
      <c r="A19" s="33" t="s">
        <v>41</v>
      </c>
      <c r="B19" s="33">
        <v>-205</v>
      </c>
      <c r="C19" s="33">
        <v>-538</v>
      </c>
      <c r="D19" s="33">
        <v>-593</v>
      </c>
      <c r="E19" s="33">
        <v>-3945</v>
      </c>
      <c r="F19" s="33">
        <v>-329</v>
      </c>
      <c r="G19" s="33">
        <v>-250</v>
      </c>
    </row>
    <row r="20" spans="1:7">
      <c r="A20" s="33" t="s">
        <v>43</v>
      </c>
      <c r="B20" s="33">
        <v>-249</v>
      </c>
      <c r="C20" s="33">
        <v>-3643</v>
      </c>
      <c r="D20" s="33">
        <v>-298</v>
      </c>
      <c r="E20" s="35" t="s">
        <v>27</v>
      </c>
      <c r="F20" s="33">
        <v>-1772</v>
      </c>
      <c r="G20" s="33">
        <v>-2153</v>
      </c>
    </row>
    <row r="21" spans="1:7">
      <c r="A21" s="33" t="s">
        <v>44</v>
      </c>
      <c r="B21" s="33">
        <v>-1285</v>
      </c>
      <c r="C21" s="33">
        <v>-2343</v>
      </c>
      <c r="D21" s="33">
        <v>-1881</v>
      </c>
      <c r="E21" s="35" t="s">
        <v>27</v>
      </c>
      <c r="F21" s="33">
        <v>-1202</v>
      </c>
      <c r="G21" s="33">
        <v>-1468</v>
      </c>
    </row>
    <row r="22" spans="1:7">
      <c r="A22" s="34" t="s">
        <v>46</v>
      </c>
      <c r="B22" s="34">
        <v>788</v>
      </c>
      <c r="C22" s="34">
        <v>425</v>
      </c>
      <c r="D22" s="34">
        <v>557</v>
      </c>
      <c r="E22" s="34">
        <v>904</v>
      </c>
      <c r="F22" s="34">
        <v>384</v>
      </c>
      <c r="G22" s="34">
        <v>1051</v>
      </c>
    </row>
    <row r="23" spans="1:7">
      <c r="A23" s="33" t="s">
        <v>47</v>
      </c>
      <c r="B23" s="33">
        <v>-201</v>
      </c>
      <c r="C23" s="33">
        <v>-101</v>
      </c>
      <c r="D23" s="33">
        <v>-124</v>
      </c>
      <c r="E23" s="33">
        <v>-171</v>
      </c>
      <c r="F23" s="33">
        <v>-110</v>
      </c>
      <c r="G23" s="33">
        <v>-203</v>
      </c>
    </row>
    <row r="24" spans="1:7">
      <c r="A24" s="34" t="s">
        <v>219</v>
      </c>
      <c r="B24" s="34">
        <v>587</v>
      </c>
      <c r="C24" s="34">
        <v>324</v>
      </c>
      <c r="D24" s="34">
        <v>433</v>
      </c>
      <c r="E24" s="34">
        <v>733</v>
      </c>
      <c r="F24" s="34">
        <v>274</v>
      </c>
      <c r="G24" s="34">
        <v>848</v>
      </c>
    </row>
    <row r="25" spans="1:7">
      <c r="A25" s="351" t="s">
        <v>220</v>
      </c>
      <c r="B25" s="351"/>
      <c r="C25" s="351"/>
      <c r="D25" s="351"/>
      <c r="E25" s="351"/>
      <c r="F25" s="351"/>
      <c r="G25" s="351"/>
    </row>
    <row r="26" spans="1:7">
      <c r="A26" s="352" t="s">
        <v>221</v>
      </c>
      <c r="B26" s="352"/>
      <c r="C26" s="352"/>
      <c r="D26" s="352"/>
      <c r="E26" s="352"/>
      <c r="F26" s="352"/>
      <c r="G26" s="352"/>
    </row>
    <row r="27" spans="1:7">
      <c r="A27" s="349" t="s">
        <v>144</v>
      </c>
      <c r="B27" s="349"/>
      <c r="C27" s="349"/>
      <c r="D27" s="349"/>
      <c r="E27" s="349"/>
      <c r="F27" s="349"/>
      <c r="G27" s="349"/>
    </row>
    <row r="28" spans="1:7">
      <c r="A28" s="33" t="s">
        <v>222</v>
      </c>
      <c r="B28" s="33">
        <v>-38</v>
      </c>
      <c r="C28" s="33">
        <v>128</v>
      </c>
      <c r="D28" s="33">
        <v>23</v>
      </c>
      <c r="E28" s="349">
        <v>-210</v>
      </c>
      <c r="F28" s="33">
        <v>59</v>
      </c>
      <c r="G28" s="33">
        <v>137</v>
      </c>
    </row>
    <row r="29" spans="1:7">
      <c r="A29" s="33" t="s">
        <v>223</v>
      </c>
      <c r="B29" s="33">
        <v>-21</v>
      </c>
      <c r="C29" s="33">
        <v>18</v>
      </c>
      <c r="D29" s="33">
        <v>273</v>
      </c>
      <c r="E29" s="349"/>
      <c r="F29" s="33">
        <v>-18</v>
      </c>
      <c r="G29" s="33">
        <v>36</v>
      </c>
    </row>
    <row r="30" spans="1:7">
      <c r="A30" s="33" t="s">
        <v>224</v>
      </c>
      <c r="B30" s="33">
        <v>11</v>
      </c>
      <c r="C30" s="33">
        <v>-32</v>
      </c>
      <c r="D30" s="33">
        <v>-60</v>
      </c>
      <c r="E30" s="349"/>
      <c r="F30" s="33">
        <v>-6</v>
      </c>
      <c r="G30" s="33">
        <v>-37</v>
      </c>
    </row>
    <row r="31" spans="1:7">
      <c r="A31" s="352" t="s">
        <v>225</v>
      </c>
      <c r="B31" s="352"/>
      <c r="C31" s="352"/>
      <c r="D31" s="352"/>
      <c r="E31" s="352"/>
      <c r="F31" s="352"/>
      <c r="G31" s="352"/>
    </row>
    <row r="32" spans="1:7">
      <c r="A32" s="33" t="s">
        <v>226</v>
      </c>
      <c r="B32" s="33">
        <v>-19</v>
      </c>
      <c r="C32" s="33">
        <v>125</v>
      </c>
      <c r="D32" s="33">
        <v>-24</v>
      </c>
      <c r="E32" s="349">
        <v>3</v>
      </c>
      <c r="F32" s="33">
        <v>30</v>
      </c>
      <c r="G32" s="33">
        <v>25</v>
      </c>
    </row>
    <row r="33" spans="1:7">
      <c r="A33" s="33" t="s">
        <v>227</v>
      </c>
      <c r="B33" s="35" t="s">
        <v>27</v>
      </c>
      <c r="C33" s="33">
        <v>22</v>
      </c>
      <c r="D33" s="33">
        <v>6</v>
      </c>
      <c r="E33" s="349"/>
      <c r="F33" s="33">
        <v>43</v>
      </c>
      <c r="G33" s="35" t="s">
        <v>27</v>
      </c>
    </row>
    <row r="34" spans="1:7">
      <c r="A34" s="33" t="s">
        <v>224</v>
      </c>
      <c r="B34" s="33">
        <v>4</v>
      </c>
      <c r="C34" s="33">
        <v>-29</v>
      </c>
      <c r="D34" s="33">
        <v>3</v>
      </c>
      <c r="E34" s="349"/>
      <c r="F34" s="33">
        <v>-15</v>
      </c>
      <c r="G34" s="33">
        <v>-5</v>
      </c>
    </row>
    <row r="35" spans="1:7">
      <c r="A35" s="34" t="s">
        <v>228</v>
      </c>
      <c r="B35" s="34">
        <v>-63</v>
      </c>
      <c r="C35" s="34">
        <v>232</v>
      </c>
      <c r="D35" s="34">
        <v>221</v>
      </c>
      <c r="E35" s="34">
        <v>-207</v>
      </c>
      <c r="F35" s="34">
        <v>93</v>
      </c>
      <c r="G35" s="34">
        <v>156</v>
      </c>
    </row>
    <row r="36" spans="1:7">
      <c r="A36" s="34" t="s">
        <v>229</v>
      </c>
      <c r="B36" s="34">
        <v>524</v>
      </c>
      <c r="C36" s="34">
        <v>556</v>
      </c>
      <c r="D36" s="34">
        <v>654</v>
      </c>
      <c r="E36" s="34">
        <v>526</v>
      </c>
      <c r="F36" s="34">
        <v>367</v>
      </c>
      <c r="G36" s="34">
        <v>1004</v>
      </c>
    </row>
  </sheetData>
  <mergeCells count="7">
    <mergeCell ref="E32:E34"/>
    <mergeCell ref="A1:G1"/>
    <mergeCell ref="A25:G25"/>
    <mergeCell ref="A26:G26"/>
    <mergeCell ref="A27:G27"/>
    <mergeCell ref="E28:E30"/>
    <mergeCell ref="A31:G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DCC67-73FF-421F-A75E-D2FFAC88DA72}">
  <dimension ref="A1:O81"/>
  <sheetViews>
    <sheetView workbookViewId="0">
      <selection activeCell="E4" sqref="E4"/>
    </sheetView>
  </sheetViews>
  <sheetFormatPr baseColWidth="10" defaultColWidth="11" defaultRowHeight="15.75" customHeight="1"/>
  <cols>
    <col min="1" max="1" width="27.6640625" customWidth="1"/>
    <col min="2" max="6" width="9"/>
    <col min="7" max="7" width="11" style="120"/>
    <col min="15" max="15" width="11" style="120"/>
  </cols>
  <sheetData>
    <row r="1" spans="1:15" s="119" customFormat="1" ht="15.75" customHeight="1">
      <c r="A1" s="119" t="s">
        <v>230</v>
      </c>
      <c r="H1" s="160" t="s">
        <v>231</v>
      </c>
      <c r="I1" s="160" t="s">
        <v>232</v>
      </c>
      <c r="K1" s="119" t="s">
        <v>233</v>
      </c>
    </row>
    <row r="2" spans="1:15" ht="16">
      <c r="A2" s="140"/>
      <c r="B2" s="141">
        <v>2019</v>
      </c>
      <c r="C2" s="141">
        <v>2020</v>
      </c>
      <c r="D2" s="141">
        <v>2021</v>
      </c>
      <c r="E2" s="141">
        <v>2022</v>
      </c>
      <c r="F2" s="141">
        <v>2023</v>
      </c>
      <c r="G2" s="142">
        <v>2024</v>
      </c>
      <c r="K2" s="167">
        <v>2020</v>
      </c>
      <c r="L2" s="168">
        <f>K2+1</f>
        <v>2021</v>
      </c>
      <c r="M2" s="168">
        <f t="shared" ref="M2:O2" si="0">L2+1</f>
        <v>2022</v>
      </c>
      <c r="N2" s="168">
        <f t="shared" si="0"/>
        <v>2023</v>
      </c>
      <c r="O2" s="169">
        <f t="shared" si="0"/>
        <v>2024</v>
      </c>
    </row>
    <row r="3" spans="1:15" s="47" customFormat="1" ht="16">
      <c r="A3" s="121" t="s">
        <v>146</v>
      </c>
      <c r="B3" s="34">
        <v>9142</v>
      </c>
      <c r="C3" s="34">
        <v>7510</v>
      </c>
      <c r="D3" s="34">
        <v>7413</v>
      </c>
      <c r="E3" s="34">
        <v>11966</v>
      </c>
      <c r="F3" s="34">
        <v>12693</v>
      </c>
      <c r="G3" s="122">
        <v>10316</v>
      </c>
      <c r="H3">
        <f>(G3/E3)^(1/2.5) -1</f>
        <v>-5.7622444585789245E-2</v>
      </c>
      <c r="I3" s="17">
        <f>(F3/C3)^(1/3)-1</f>
        <v>0.19117283597329537</v>
      </c>
      <c r="K3" s="170">
        <f>C3/B3-1</f>
        <v>-0.17851673594399475</v>
      </c>
      <c r="L3" s="171">
        <f t="shared" ref="L3:O3" si="1">D3/C3-1</f>
        <v>-1.2916111850865497E-2</v>
      </c>
      <c r="M3" s="172">
        <f t="shared" si="1"/>
        <v>0.61419128557938762</v>
      </c>
      <c r="N3" s="171">
        <f t="shared" si="1"/>
        <v>6.0755473842553975E-2</v>
      </c>
      <c r="O3" s="173">
        <f t="shared" si="1"/>
        <v>-0.18726857322933899</v>
      </c>
    </row>
    <row r="4" spans="1:15" ht="16">
      <c r="A4" s="123" t="s">
        <v>16</v>
      </c>
      <c r="B4">
        <v>7242</v>
      </c>
      <c r="C4">
        <v>6073</v>
      </c>
      <c r="D4">
        <v>6109</v>
      </c>
      <c r="E4">
        <v>8155</v>
      </c>
      <c r="F4">
        <v>9257</v>
      </c>
      <c r="G4" s="124">
        <v>7926</v>
      </c>
      <c r="I4" s="17">
        <f t="shared" ref="I4:I67" si="2">(F4/C4)^(1/3)-1</f>
        <v>0.15085955432229792</v>
      </c>
      <c r="K4" s="134">
        <f t="shared" ref="K4:K36" si="3">C4/B4-1</f>
        <v>-0.16141949737641537</v>
      </c>
      <c r="L4" s="17">
        <f t="shared" ref="L4:L36" si="4">D4/C4-1</f>
        <v>5.9278774905318077E-3</v>
      </c>
      <c r="M4" s="163">
        <f t="shared" ref="M4:M36" si="5">E4/D4-1</f>
        <v>0.33491569815027011</v>
      </c>
      <c r="N4" s="17">
        <f t="shared" ref="N4:N36" si="6">F4/E4-1</f>
        <v>0.13513182096873089</v>
      </c>
      <c r="O4" s="135">
        <f t="shared" ref="O4:O36" si="7">G4/F4-1</f>
        <v>-0.14378308307226961</v>
      </c>
    </row>
    <row r="5" spans="1:15" ht="16">
      <c r="A5" s="123" t="s">
        <v>14</v>
      </c>
      <c r="B5">
        <v>527</v>
      </c>
      <c r="C5">
        <v>590</v>
      </c>
      <c r="D5">
        <v>273</v>
      </c>
      <c r="E5">
        <v>1929</v>
      </c>
      <c r="F5">
        <v>1951</v>
      </c>
      <c r="G5" s="124">
        <v>1173</v>
      </c>
      <c r="I5" s="17">
        <f t="shared" si="2"/>
        <v>0.48982441079309447</v>
      </c>
      <c r="K5" s="134">
        <f t="shared" si="3"/>
        <v>0.11954459203036061</v>
      </c>
      <c r="L5" s="17">
        <f t="shared" si="4"/>
        <v>-0.53728813559322042</v>
      </c>
      <c r="M5" s="163">
        <f t="shared" si="5"/>
        <v>6.0659340659340657</v>
      </c>
      <c r="N5" s="17">
        <f t="shared" si="6"/>
        <v>1.1404872991187087E-2</v>
      </c>
      <c r="O5" s="135">
        <f t="shared" si="7"/>
        <v>-0.39876986160943106</v>
      </c>
    </row>
    <row r="6" spans="1:15" ht="16">
      <c r="A6" s="123" t="s">
        <v>144</v>
      </c>
      <c r="B6">
        <v>1046</v>
      </c>
      <c r="C6">
        <v>714</v>
      </c>
      <c r="D6">
        <v>1031</v>
      </c>
      <c r="E6">
        <v>1544</v>
      </c>
      <c r="F6">
        <v>1324</v>
      </c>
      <c r="G6" s="124">
        <v>1217</v>
      </c>
      <c r="I6" s="17">
        <f t="shared" si="2"/>
        <v>0.22856062191830651</v>
      </c>
      <c r="K6" s="134">
        <f t="shared" si="3"/>
        <v>-0.31739961759082214</v>
      </c>
      <c r="L6" s="163">
        <f t="shared" si="4"/>
        <v>0.44397759103641454</v>
      </c>
      <c r="M6" s="163">
        <f t="shared" si="5"/>
        <v>0.49757516973811833</v>
      </c>
      <c r="N6" s="17">
        <f t="shared" si="6"/>
        <v>-0.1424870466321243</v>
      </c>
      <c r="O6" s="135">
        <f t="shared" si="7"/>
        <v>-8.0815709969788485E-2</v>
      </c>
    </row>
    <row r="7" spans="1:15" ht="16">
      <c r="A7" s="123" t="s">
        <v>145</v>
      </c>
      <c r="B7">
        <v>327</v>
      </c>
      <c r="C7">
        <v>133</v>
      </c>
      <c r="E7">
        <v>338</v>
      </c>
      <c r="F7">
        <v>161</v>
      </c>
      <c r="G7" s="124"/>
      <c r="I7" s="17">
        <f t="shared" si="2"/>
        <v>6.5756716652330516E-2</v>
      </c>
      <c r="K7" s="134">
        <f t="shared" si="3"/>
        <v>-0.5932721712538227</v>
      </c>
      <c r="L7" s="17"/>
      <c r="M7" s="17"/>
      <c r="N7" s="17">
        <f t="shared" si="6"/>
        <v>-0.52366863905325445</v>
      </c>
      <c r="O7" s="135"/>
    </row>
    <row r="8" spans="1:15" s="47" customFormat="1" ht="16">
      <c r="A8" s="121" t="s">
        <v>11</v>
      </c>
      <c r="B8" s="34">
        <v>161</v>
      </c>
      <c r="C8" s="34">
        <v>112</v>
      </c>
      <c r="D8" s="34">
        <v>147</v>
      </c>
      <c r="E8" s="34">
        <v>123</v>
      </c>
      <c r="F8" s="34">
        <v>105</v>
      </c>
      <c r="G8" s="122">
        <v>77</v>
      </c>
      <c r="H8"/>
      <c r="I8" s="17">
        <f t="shared" si="2"/>
        <v>-2.1283089707784142E-2</v>
      </c>
      <c r="K8" s="132">
        <f t="shared" si="3"/>
        <v>-0.30434782608695654</v>
      </c>
      <c r="L8" s="162">
        <f t="shared" si="4"/>
        <v>0.3125</v>
      </c>
      <c r="M8" s="161">
        <f t="shared" si="5"/>
        <v>-0.16326530612244894</v>
      </c>
      <c r="N8" s="161">
        <f t="shared" si="6"/>
        <v>-0.14634146341463417</v>
      </c>
      <c r="O8" s="133">
        <f t="shared" si="7"/>
        <v>-0.26666666666666672</v>
      </c>
    </row>
    <row r="9" spans="1:15" ht="16">
      <c r="A9" s="123" t="s">
        <v>234</v>
      </c>
      <c r="B9">
        <v>161</v>
      </c>
      <c r="C9">
        <v>112</v>
      </c>
      <c r="D9">
        <v>147</v>
      </c>
      <c r="E9">
        <v>123</v>
      </c>
      <c r="F9">
        <v>105</v>
      </c>
      <c r="G9" s="124">
        <v>77</v>
      </c>
      <c r="I9" s="17">
        <f t="shared" si="2"/>
        <v>-2.1283089707784142E-2</v>
      </c>
      <c r="K9" s="134"/>
      <c r="L9" s="17"/>
      <c r="M9" s="17"/>
      <c r="N9" s="17"/>
      <c r="O9" s="135"/>
    </row>
    <row r="10" spans="1:15" s="47" customFormat="1" ht="16">
      <c r="A10" s="121" t="s">
        <v>215</v>
      </c>
      <c r="B10" s="34">
        <v>-5021</v>
      </c>
      <c r="C10" s="34">
        <v>-3880</v>
      </c>
      <c r="D10" s="34">
        <v>-2969</v>
      </c>
      <c r="E10" s="34">
        <v>-6270</v>
      </c>
      <c r="F10" s="34">
        <v>-6434</v>
      </c>
      <c r="G10" s="122">
        <v>-6082</v>
      </c>
      <c r="H10"/>
      <c r="I10" s="17">
        <f t="shared" si="2"/>
        <v>0.18363130685098805</v>
      </c>
      <c r="K10" s="132">
        <f t="shared" si="3"/>
        <v>-0.22724556861183032</v>
      </c>
      <c r="L10" s="161">
        <f t="shared" si="4"/>
        <v>-0.23479381443298974</v>
      </c>
      <c r="M10" s="165">
        <f t="shared" si="5"/>
        <v>1.1118221623442235</v>
      </c>
      <c r="N10" s="161">
        <f t="shared" si="6"/>
        <v>2.6156299840510266E-2</v>
      </c>
      <c r="O10" s="133">
        <f t="shared" si="7"/>
        <v>-5.4709356543363397E-2</v>
      </c>
    </row>
    <row r="11" spans="1:15" ht="16">
      <c r="A11" s="123" t="s">
        <v>235</v>
      </c>
      <c r="B11">
        <v>-1947</v>
      </c>
      <c r="C11">
        <v>-1379</v>
      </c>
      <c r="D11">
        <v>-1363</v>
      </c>
      <c r="E11">
        <v>-3871</v>
      </c>
      <c r="F11">
        <v>-4438</v>
      </c>
      <c r="G11" s="124">
        <v>-4401</v>
      </c>
      <c r="I11" s="17">
        <f t="shared" si="2"/>
        <v>0.47641237680073556</v>
      </c>
      <c r="K11" s="134">
        <f t="shared" si="3"/>
        <v>-0.29173086800205439</v>
      </c>
      <c r="L11" s="17">
        <f t="shared" si="4"/>
        <v>-1.1602610587382212E-2</v>
      </c>
      <c r="M11" s="166">
        <f>E11/D11-1</f>
        <v>1.8400586940572268</v>
      </c>
      <c r="N11" s="166">
        <f t="shared" si="6"/>
        <v>0.14647377938517181</v>
      </c>
      <c r="O11" s="135">
        <f t="shared" si="7"/>
        <v>-8.3370887787291847E-3</v>
      </c>
    </row>
    <row r="12" spans="1:15" ht="16">
      <c r="A12" s="123" t="s">
        <v>236</v>
      </c>
      <c r="B12">
        <v>-2346</v>
      </c>
      <c r="C12">
        <v>-2200</v>
      </c>
      <c r="D12">
        <v>-1381</v>
      </c>
      <c r="E12">
        <v>-2254</v>
      </c>
      <c r="F12">
        <v>-1460</v>
      </c>
      <c r="G12" s="124">
        <v>-1138</v>
      </c>
      <c r="I12" s="17">
        <f t="shared" si="2"/>
        <v>-0.12774515257295094</v>
      </c>
      <c r="K12" s="134">
        <f t="shared" si="3"/>
        <v>-6.2233589087809071E-2</v>
      </c>
      <c r="L12" s="17">
        <f t="shared" si="4"/>
        <v>-0.37227272727272731</v>
      </c>
      <c r="M12" s="166">
        <f t="shared" si="5"/>
        <v>0.63215061549601748</v>
      </c>
      <c r="N12" s="17">
        <f t="shared" si="6"/>
        <v>-0.35226264418811004</v>
      </c>
      <c r="O12" s="135">
        <f t="shared" si="7"/>
        <v>-0.22054794520547949</v>
      </c>
    </row>
    <row r="13" spans="1:15" ht="16">
      <c r="A13" s="123" t="s">
        <v>237</v>
      </c>
      <c r="B13">
        <v>-211</v>
      </c>
      <c r="C13">
        <v>-25</v>
      </c>
      <c r="D13">
        <v>-78</v>
      </c>
      <c r="E13">
        <v>-133</v>
      </c>
      <c r="F13">
        <v>-535</v>
      </c>
      <c r="G13" s="124">
        <v>-543</v>
      </c>
      <c r="I13" s="17">
        <f t="shared" si="2"/>
        <v>1.7763310985455614</v>
      </c>
      <c r="K13" s="134">
        <f t="shared" si="3"/>
        <v>-0.88151658767772512</v>
      </c>
      <c r="L13" s="166">
        <f t="shared" si="4"/>
        <v>2.12</v>
      </c>
      <c r="M13" s="166">
        <f t="shared" si="5"/>
        <v>0.70512820512820507</v>
      </c>
      <c r="N13" s="166">
        <f t="shared" si="6"/>
        <v>3.022556390977444</v>
      </c>
      <c r="O13" s="135">
        <f t="shared" si="7"/>
        <v>1.495327102803734E-2</v>
      </c>
    </row>
    <row r="14" spans="1:15" ht="16">
      <c r="A14" s="123" t="s">
        <v>238</v>
      </c>
      <c r="B14">
        <v>-18</v>
      </c>
      <c r="F14">
        <v>-1</v>
      </c>
      <c r="G14" s="124"/>
      <c r="I14" s="17"/>
      <c r="K14" s="134"/>
      <c r="L14" s="17"/>
      <c r="M14" s="17"/>
      <c r="N14" s="17"/>
      <c r="O14" s="135"/>
    </row>
    <row r="15" spans="1:15" ht="16">
      <c r="A15" s="123" t="s">
        <v>239</v>
      </c>
      <c r="B15">
        <v>-390</v>
      </c>
      <c r="C15">
        <v>-214</v>
      </c>
      <c r="D15">
        <v>-115</v>
      </c>
      <c r="E15">
        <v>-12</v>
      </c>
      <c r="G15" s="124"/>
      <c r="I15" s="17"/>
      <c r="K15" s="134">
        <f t="shared" si="3"/>
        <v>-0.45128205128205123</v>
      </c>
      <c r="L15" s="17">
        <f t="shared" si="4"/>
        <v>-0.46261682242990654</v>
      </c>
      <c r="M15" s="17">
        <f t="shared" si="5"/>
        <v>-0.89565217391304353</v>
      </c>
      <c r="N15" s="17"/>
      <c r="O15" s="135"/>
    </row>
    <row r="16" spans="1:15" ht="16">
      <c r="A16" s="123" t="s">
        <v>158</v>
      </c>
      <c r="B16">
        <v>-58</v>
      </c>
      <c r="C16">
        <v>-23</v>
      </c>
      <c r="D16">
        <v>-3</v>
      </c>
      <c r="G16" s="124"/>
      <c r="I16" s="17"/>
      <c r="K16" s="134">
        <f t="shared" si="3"/>
        <v>-0.60344827586206895</v>
      </c>
      <c r="L16" s="163">
        <f t="shared" si="4"/>
        <v>-0.86956521739130432</v>
      </c>
      <c r="M16" s="163">
        <f t="shared" si="5"/>
        <v>-1</v>
      </c>
      <c r="N16" s="17"/>
      <c r="O16" s="135"/>
    </row>
    <row r="17" spans="1:15" s="47" customFormat="1" ht="16">
      <c r="A17" s="121" t="s">
        <v>15</v>
      </c>
      <c r="B17" s="125"/>
      <c r="C17" s="125"/>
      <c r="D17" s="125"/>
      <c r="E17" s="34">
        <v>-56</v>
      </c>
      <c r="F17" s="34">
        <v>-50</v>
      </c>
      <c r="G17" s="122">
        <v>-24</v>
      </c>
      <c r="H17"/>
      <c r="I17" s="17"/>
      <c r="K17" s="132"/>
      <c r="L17" s="161"/>
      <c r="M17" s="161"/>
      <c r="N17" s="161">
        <f t="shared" si="6"/>
        <v>-0.1071428571428571</v>
      </c>
      <c r="O17" s="133">
        <f t="shared" si="7"/>
        <v>-0.52</v>
      </c>
    </row>
    <row r="18" spans="1:15" ht="16">
      <c r="A18" s="123" t="s">
        <v>240</v>
      </c>
      <c r="E18">
        <v>-56</v>
      </c>
      <c r="F18">
        <v>-50</v>
      </c>
      <c r="G18" s="124">
        <v>-24</v>
      </c>
      <c r="I18" s="17"/>
      <c r="K18" s="134"/>
      <c r="L18" s="17"/>
      <c r="M18" s="17"/>
      <c r="N18" s="17"/>
      <c r="O18" s="135"/>
    </row>
    <row r="19" spans="1:15" s="47" customFormat="1" ht="16">
      <c r="A19" s="121" t="s">
        <v>17</v>
      </c>
      <c r="B19" s="34">
        <v>4282</v>
      </c>
      <c r="C19" s="34">
        <v>3742</v>
      </c>
      <c r="D19" s="34">
        <v>4591</v>
      </c>
      <c r="E19" s="34">
        <v>5763</v>
      </c>
      <c r="F19" s="34">
        <v>6314</v>
      </c>
      <c r="G19" s="122">
        <v>4287</v>
      </c>
      <c r="H19"/>
      <c r="I19" s="17">
        <f t="shared" si="2"/>
        <v>0.19051150879752932</v>
      </c>
      <c r="K19" s="132">
        <f t="shared" si="3"/>
        <v>-0.12610929472209254</v>
      </c>
      <c r="L19" s="162">
        <f t="shared" si="4"/>
        <v>0.22688401924104751</v>
      </c>
      <c r="M19" s="162">
        <f t="shared" si="5"/>
        <v>0.25528207362230448</v>
      </c>
      <c r="N19" s="161">
        <f t="shared" si="6"/>
        <v>9.5609925386083594E-2</v>
      </c>
      <c r="O19" s="133">
        <f t="shared" si="7"/>
        <v>-0.32103262591067472</v>
      </c>
    </row>
    <row r="20" spans="1:15" s="120" customFormat="1" ht="16">
      <c r="A20" s="126" t="s">
        <v>19</v>
      </c>
      <c r="B20" s="127">
        <v>14</v>
      </c>
      <c r="C20" s="127">
        <v>-872</v>
      </c>
      <c r="D20" s="127">
        <v>-190</v>
      </c>
      <c r="E20" s="127">
        <v>-1054</v>
      </c>
      <c r="F20" s="127">
        <v>-810</v>
      </c>
      <c r="G20" s="128">
        <v>-313</v>
      </c>
      <c r="H20"/>
      <c r="I20" s="17">
        <f t="shared" si="2"/>
        <v>-2.4285307680980472E-2</v>
      </c>
      <c r="K20" s="136">
        <f t="shared" si="3"/>
        <v>-63.285714285714285</v>
      </c>
      <c r="L20" s="164">
        <f t="shared" si="4"/>
        <v>-0.7821100917431193</v>
      </c>
      <c r="M20" s="164">
        <f t="shared" si="5"/>
        <v>4.5473684210526315</v>
      </c>
      <c r="N20" s="164">
        <f t="shared" si="6"/>
        <v>-0.23149905123339654</v>
      </c>
      <c r="O20" s="135">
        <f t="shared" si="7"/>
        <v>-0.61358024691358026</v>
      </c>
    </row>
    <row r="21" spans="1:15" s="47" customFormat="1" ht="16">
      <c r="A21" s="121" t="s">
        <v>21</v>
      </c>
      <c r="B21" s="34">
        <v>4296</v>
      </c>
      <c r="C21" s="34">
        <v>2870</v>
      </c>
      <c r="D21" s="34">
        <v>4401</v>
      </c>
      <c r="E21" s="34">
        <v>4709</v>
      </c>
      <c r="F21" s="34">
        <v>5504</v>
      </c>
      <c r="G21" s="122">
        <v>3974</v>
      </c>
      <c r="H21"/>
      <c r="I21" s="17">
        <f t="shared" si="2"/>
        <v>0.24241163401334309</v>
      </c>
      <c r="K21" s="132">
        <f t="shared" si="3"/>
        <v>-0.33193668528864062</v>
      </c>
      <c r="L21" s="162">
        <f t="shared" si="4"/>
        <v>0.53344947735191628</v>
      </c>
      <c r="M21" s="161">
        <f t="shared" si="5"/>
        <v>6.9984094523971807E-2</v>
      </c>
      <c r="N21" s="162">
        <f t="shared" si="6"/>
        <v>0.16882565300488417</v>
      </c>
      <c r="O21" s="133">
        <f t="shared" si="7"/>
        <v>-0.27797965116279066</v>
      </c>
    </row>
    <row r="22" spans="1:15" s="47" customFormat="1" ht="16">
      <c r="A22" s="121" t="s">
        <v>23</v>
      </c>
      <c r="B22" s="34">
        <v>416</v>
      </c>
      <c r="C22" s="34">
        <v>395</v>
      </c>
      <c r="D22" s="34">
        <v>512</v>
      </c>
      <c r="E22" s="34">
        <v>715</v>
      </c>
      <c r="F22" s="34">
        <v>981</v>
      </c>
      <c r="G22" s="122">
        <v>641</v>
      </c>
      <c r="H22"/>
      <c r="I22" s="17">
        <f t="shared" si="2"/>
        <v>0.35422440852661707</v>
      </c>
      <c r="K22" s="132">
        <f t="shared" si="3"/>
        <v>-5.0480769230769273E-2</v>
      </c>
      <c r="L22" s="162">
        <f t="shared" si="4"/>
        <v>0.29620253164556964</v>
      </c>
      <c r="M22" s="162">
        <f t="shared" si="5"/>
        <v>0.396484375</v>
      </c>
      <c r="N22" s="162">
        <f t="shared" si="6"/>
        <v>0.372027972027972</v>
      </c>
      <c r="O22" s="133">
        <f t="shared" si="7"/>
        <v>-0.34658511722731911</v>
      </c>
    </row>
    <row r="23" spans="1:15" ht="16">
      <c r="A23" s="123" t="s">
        <v>147</v>
      </c>
      <c r="B23">
        <v>96</v>
      </c>
      <c r="C23">
        <v>131</v>
      </c>
      <c r="D23">
        <v>162</v>
      </c>
      <c r="E23">
        <v>364</v>
      </c>
      <c r="F23">
        <v>544</v>
      </c>
      <c r="G23" s="124">
        <v>332</v>
      </c>
      <c r="I23" s="17">
        <f t="shared" si="2"/>
        <v>0.60734536179421639</v>
      </c>
      <c r="K23" s="134">
        <f t="shared" si="3"/>
        <v>0.36458333333333326</v>
      </c>
      <c r="L23" s="17">
        <f t="shared" si="4"/>
        <v>0.23664122137404586</v>
      </c>
      <c r="M23" s="163">
        <f t="shared" si="5"/>
        <v>1.2469135802469138</v>
      </c>
      <c r="N23" s="17">
        <f t="shared" si="6"/>
        <v>0.49450549450549453</v>
      </c>
      <c r="O23" s="135">
        <f t="shared" si="7"/>
        <v>-0.38970588235294112</v>
      </c>
    </row>
    <row r="24" spans="1:15" ht="16">
      <c r="A24" s="123" t="s">
        <v>148</v>
      </c>
      <c r="B24">
        <v>232</v>
      </c>
      <c r="C24">
        <v>191</v>
      </c>
      <c r="D24">
        <v>224</v>
      </c>
      <c r="E24">
        <v>213</v>
      </c>
      <c r="F24">
        <v>258</v>
      </c>
      <c r="G24" s="124">
        <v>133</v>
      </c>
      <c r="I24" s="17">
        <f t="shared" si="2"/>
        <v>0.10542372052606019</v>
      </c>
      <c r="K24" s="134">
        <f t="shared" si="3"/>
        <v>-0.17672413793103448</v>
      </c>
      <c r="L24" s="17">
        <f t="shared" si="4"/>
        <v>0.17277486910994755</v>
      </c>
      <c r="M24" s="17">
        <f t="shared" si="5"/>
        <v>-4.9107142857142905E-2</v>
      </c>
      <c r="N24" s="17">
        <f t="shared" si="6"/>
        <v>0.21126760563380276</v>
      </c>
      <c r="O24" s="135">
        <f t="shared" si="7"/>
        <v>-0.48449612403100772</v>
      </c>
    </row>
    <row r="25" spans="1:15" ht="16">
      <c r="A25" s="123" t="s">
        <v>149</v>
      </c>
      <c r="D25">
        <v>43</v>
      </c>
      <c r="E25">
        <v>50</v>
      </c>
      <c r="F25">
        <v>31</v>
      </c>
      <c r="G25" s="124">
        <v>2</v>
      </c>
      <c r="I25" s="17"/>
      <c r="K25" s="134"/>
      <c r="L25" s="17"/>
      <c r="M25" s="17">
        <f t="shared" si="5"/>
        <v>0.16279069767441867</v>
      </c>
      <c r="N25" s="17">
        <f t="shared" si="6"/>
        <v>-0.38</v>
      </c>
      <c r="O25" s="135">
        <f t="shared" si="7"/>
        <v>-0.93548387096774199</v>
      </c>
    </row>
    <row r="26" spans="1:15" ht="16">
      <c r="A26" s="123" t="s">
        <v>150</v>
      </c>
      <c r="B26">
        <v>27</v>
      </c>
      <c r="C26">
        <v>16</v>
      </c>
      <c r="D26">
        <v>12</v>
      </c>
      <c r="E26">
        <v>12</v>
      </c>
      <c r="F26">
        <v>10</v>
      </c>
      <c r="G26" s="124">
        <v>7</v>
      </c>
      <c r="I26" s="17">
        <f t="shared" si="2"/>
        <v>-0.14501202666165147</v>
      </c>
      <c r="K26" s="134">
        <f t="shared" si="3"/>
        <v>-0.40740740740740744</v>
      </c>
      <c r="L26" s="17">
        <f t="shared" si="4"/>
        <v>-0.25</v>
      </c>
      <c r="M26" s="17">
        <f t="shared" si="5"/>
        <v>0</v>
      </c>
      <c r="N26" s="17">
        <f t="shared" si="6"/>
        <v>-0.16666666666666663</v>
      </c>
      <c r="O26" s="135">
        <f t="shared" si="7"/>
        <v>-0.30000000000000004</v>
      </c>
    </row>
    <row r="27" spans="1:15" ht="16">
      <c r="A27" s="123" t="s">
        <v>151</v>
      </c>
      <c r="B27">
        <v>36</v>
      </c>
      <c r="C27">
        <v>36</v>
      </c>
      <c r="E27">
        <v>55</v>
      </c>
      <c r="F27">
        <v>84</v>
      </c>
      <c r="G27" s="124">
        <v>65</v>
      </c>
      <c r="I27" s="17">
        <f t="shared" si="2"/>
        <v>0.32635240263213072</v>
      </c>
      <c r="K27" s="134">
        <f t="shared" si="3"/>
        <v>0</v>
      </c>
      <c r="L27" s="17">
        <f t="shared" si="4"/>
        <v>-1</v>
      </c>
      <c r="M27" s="17"/>
      <c r="N27" s="17">
        <f t="shared" si="6"/>
        <v>0.52727272727272734</v>
      </c>
      <c r="O27" s="135">
        <f t="shared" si="7"/>
        <v>-0.22619047619047616</v>
      </c>
    </row>
    <row r="28" spans="1:15" ht="16">
      <c r="A28" s="123" t="s">
        <v>152</v>
      </c>
      <c r="B28">
        <v>14</v>
      </c>
      <c r="C28">
        <v>14</v>
      </c>
      <c r="E28">
        <v>18</v>
      </c>
      <c r="F28">
        <v>51</v>
      </c>
      <c r="G28" s="124">
        <v>65</v>
      </c>
      <c r="I28" s="17">
        <f t="shared" si="2"/>
        <v>0.53867670983117</v>
      </c>
      <c r="K28" s="134">
        <f t="shared" si="3"/>
        <v>0</v>
      </c>
      <c r="L28" s="17">
        <f t="shared" si="4"/>
        <v>-1</v>
      </c>
      <c r="M28" s="17"/>
      <c r="N28" s="17">
        <f t="shared" si="6"/>
        <v>1.8333333333333335</v>
      </c>
      <c r="O28" s="135">
        <f t="shared" si="7"/>
        <v>0.27450980392156854</v>
      </c>
    </row>
    <row r="29" spans="1:15" ht="16">
      <c r="A29" s="123" t="s">
        <v>118</v>
      </c>
      <c r="B29">
        <v>11</v>
      </c>
      <c r="C29">
        <v>7</v>
      </c>
      <c r="D29">
        <v>71</v>
      </c>
      <c r="E29">
        <v>3</v>
      </c>
      <c r="F29">
        <v>3</v>
      </c>
      <c r="G29" s="124">
        <v>37</v>
      </c>
      <c r="I29" s="17">
        <f t="shared" si="2"/>
        <v>-0.24605255887084621</v>
      </c>
      <c r="K29" s="134">
        <f t="shared" si="3"/>
        <v>-0.36363636363636365</v>
      </c>
      <c r="L29" s="17">
        <f t="shared" si="4"/>
        <v>9.1428571428571423</v>
      </c>
      <c r="M29" s="17">
        <f t="shared" si="5"/>
        <v>-0.95774647887323949</v>
      </c>
      <c r="N29" s="17">
        <f t="shared" si="6"/>
        <v>0</v>
      </c>
      <c r="O29" s="135">
        <f t="shared" si="7"/>
        <v>11.333333333333334</v>
      </c>
    </row>
    <row r="30" spans="1:15" s="47" customFormat="1" ht="16">
      <c r="A30" s="121" t="s">
        <v>25</v>
      </c>
      <c r="B30" s="34">
        <v>-209</v>
      </c>
      <c r="C30" s="34">
        <v>-201</v>
      </c>
      <c r="D30" s="34">
        <v>-237</v>
      </c>
      <c r="E30" s="34">
        <v>-190</v>
      </c>
      <c r="F30" s="34">
        <v>-193</v>
      </c>
      <c r="G30" s="122">
        <v>-124</v>
      </c>
      <c r="H30"/>
      <c r="I30" s="17">
        <f t="shared" si="2"/>
        <v>-1.3447009911778496E-2</v>
      </c>
      <c r="K30" s="132">
        <f t="shared" si="3"/>
        <v>-3.8277511961722466E-2</v>
      </c>
      <c r="L30" s="165">
        <f t="shared" si="4"/>
        <v>0.17910447761194037</v>
      </c>
      <c r="M30" s="162">
        <f t="shared" si="5"/>
        <v>-0.19831223628691985</v>
      </c>
      <c r="N30" s="161">
        <f t="shared" si="6"/>
        <v>1.5789473684210575E-2</v>
      </c>
      <c r="O30" s="133">
        <f t="shared" si="7"/>
        <v>-0.3575129533678757</v>
      </c>
    </row>
    <row r="31" spans="1:15" ht="16">
      <c r="A31" s="123" t="s">
        <v>148</v>
      </c>
      <c r="B31">
        <v>-180</v>
      </c>
      <c r="C31">
        <v>-180</v>
      </c>
      <c r="D31">
        <v>-193</v>
      </c>
      <c r="E31">
        <v>-127</v>
      </c>
      <c r="F31">
        <v>-131</v>
      </c>
      <c r="G31" s="124">
        <v>-97</v>
      </c>
      <c r="I31" s="17">
        <f t="shared" si="2"/>
        <v>-0.1005032534599537</v>
      </c>
      <c r="K31" s="134">
        <f t="shared" si="3"/>
        <v>0</v>
      </c>
      <c r="L31" s="17">
        <f t="shared" si="4"/>
        <v>7.2222222222222188E-2</v>
      </c>
      <c r="M31" s="17">
        <f t="shared" si="5"/>
        <v>-0.34196891191709844</v>
      </c>
      <c r="N31" s="17">
        <f t="shared" si="6"/>
        <v>3.1496062992125928E-2</v>
      </c>
      <c r="O31" s="135">
        <f t="shared" si="7"/>
        <v>-0.25954198473282442</v>
      </c>
    </row>
    <row r="32" spans="1:15" ht="16">
      <c r="A32" s="123" t="s">
        <v>152</v>
      </c>
      <c r="B32">
        <v>-10</v>
      </c>
      <c r="C32">
        <v>-10</v>
      </c>
      <c r="E32">
        <v>-18</v>
      </c>
      <c r="F32">
        <v>-41</v>
      </c>
      <c r="G32" s="124">
        <v>-13</v>
      </c>
      <c r="I32" s="17">
        <f t="shared" si="2"/>
        <v>0.60052066388315528</v>
      </c>
      <c r="K32" s="134">
        <f t="shared" si="3"/>
        <v>0</v>
      </c>
      <c r="L32" s="17">
        <f t="shared" si="4"/>
        <v>-1</v>
      </c>
      <c r="M32" s="17"/>
      <c r="N32" s="17">
        <f t="shared" si="6"/>
        <v>1.2777777777777777</v>
      </c>
      <c r="O32" s="135">
        <f t="shared" si="7"/>
        <v>-0.68292682926829262</v>
      </c>
    </row>
    <row r="33" spans="1:15" ht="16">
      <c r="A33" s="123" t="s">
        <v>241</v>
      </c>
      <c r="B33">
        <v>-11</v>
      </c>
      <c r="C33">
        <v>-3</v>
      </c>
      <c r="E33">
        <v>-11</v>
      </c>
      <c r="F33">
        <v>-6</v>
      </c>
      <c r="G33" s="124"/>
      <c r="I33" s="17">
        <f t="shared" si="2"/>
        <v>0.25992104989487319</v>
      </c>
      <c r="K33" s="134">
        <f t="shared" si="3"/>
        <v>-0.72727272727272729</v>
      </c>
      <c r="L33" s="17">
        <f t="shared" si="4"/>
        <v>-1</v>
      </c>
      <c r="M33" s="17"/>
      <c r="N33" s="17">
        <f t="shared" si="6"/>
        <v>-0.45454545454545459</v>
      </c>
      <c r="O33" s="135"/>
    </row>
    <row r="34" spans="1:15" ht="16">
      <c r="A34" s="123" t="s">
        <v>150</v>
      </c>
      <c r="B34">
        <v>-8</v>
      </c>
      <c r="C34">
        <v>-8</v>
      </c>
      <c r="D34">
        <v>-6</v>
      </c>
      <c r="E34">
        <v>-18</v>
      </c>
      <c r="F34">
        <v>-4</v>
      </c>
      <c r="G34" s="124">
        <v>-3</v>
      </c>
      <c r="I34" s="17">
        <f t="shared" si="2"/>
        <v>-0.20629947401590021</v>
      </c>
      <c r="K34" s="134">
        <f t="shared" si="3"/>
        <v>0</v>
      </c>
      <c r="L34" s="17">
        <f t="shared" si="4"/>
        <v>-0.25</v>
      </c>
      <c r="M34" s="17">
        <f t="shared" si="5"/>
        <v>2</v>
      </c>
      <c r="N34" s="17">
        <f t="shared" si="6"/>
        <v>-0.77777777777777779</v>
      </c>
      <c r="O34" s="135">
        <f t="shared" si="7"/>
        <v>-0.25</v>
      </c>
    </row>
    <row r="35" spans="1:15" ht="16">
      <c r="A35" s="123" t="s">
        <v>118</v>
      </c>
      <c r="D35">
        <v>-38</v>
      </c>
      <c r="E35">
        <v>-16</v>
      </c>
      <c r="F35">
        <v>-11</v>
      </c>
      <c r="G35" s="124">
        <v>-11</v>
      </c>
      <c r="I35" s="17"/>
      <c r="K35" s="134"/>
      <c r="L35" s="17"/>
      <c r="M35" s="17">
        <f t="shared" si="5"/>
        <v>-0.57894736842105265</v>
      </c>
      <c r="N35" s="17">
        <f t="shared" si="6"/>
        <v>-0.3125</v>
      </c>
      <c r="O35" s="135">
        <f t="shared" si="7"/>
        <v>0</v>
      </c>
    </row>
    <row r="36" spans="1:15" s="47" customFormat="1" ht="16">
      <c r="A36" s="129" t="s">
        <v>242</v>
      </c>
      <c r="B36" s="130">
        <v>207</v>
      </c>
      <c r="C36" s="130">
        <f>C22+C30</f>
        <v>194</v>
      </c>
      <c r="D36" s="130">
        <f>D22+D30</f>
        <v>275</v>
      </c>
      <c r="E36" s="130">
        <f>E22+E30</f>
        <v>525</v>
      </c>
      <c r="F36" s="130">
        <f>F22+F30</f>
        <v>788</v>
      </c>
      <c r="G36" s="131">
        <f>G22+G30</f>
        <v>517</v>
      </c>
      <c r="H36"/>
      <c r="I36" s="17">
        <f t="shared" si="2"/>
        <v>0.59554171254527755</v>
      </c>
      <c r="K36" s="132">
        <f t="shared" si="3"/>
        <v>-6.2801932367149704E-2</v>
      </c>
      <c r="L36" s="161">
        <f t="shared" si="4"/>
        <v>0.41752577319587636</v>
      </c>
      <c r="M36" s="161">
        <f t="shared" si="5"/>
        <v>0.90909090909090917</v>
      </c>
      <c r="N36" s="161">
        <f t="shared" si="6"/>
        <v>0.50095238095238104</v>
      </c>
      <c r="O36" s="133">
        <f t="shared" si="7"/>
        <v>-0.34390862944162437</v>
      </c>
    </row>
    <row r="37" spans="1:15" ht="16">
      <c r="I37" s="17"/>
      <c r="K37" s="132"/>
      <c r="L37" s="161"/>
      <c r="M37" s="161"/>
      <c r="N37" s="161"/>
      <c r="O37" s="133"/>
    </row>
    <row r="38" spans="1:15" ht="16">
      <c r="I38" s="17"/>
      <c r="K38" s="132"/>
      <c r="L38" s="161"/>
      <c r="M38" s="161"/>
      <c r="N38" s="161"/>
      <c r="O38" s="133"/>
    </row>
    <row r="39" spans="1:15" ht="15.75" customHeight="1">
      <c r="A39" s="143" t="s">
        <v>36</v>
      </c>
      <c r="B39" s="145">
        <v>27</v>
      </c>
      <c r="C39" s="145">
        <v>95</v>
      </c>
      <c r="D39" s="144">
        <v>126</v>
      </c>
      <c r="E39" s="144">
        <v>777</v>
      </c>
      <c r="F39" s="144">
        <v>657</v>
      </c>
      <c r="G39" s="146">
        <v>277</v>
      </c>
      <c r="I39" s="17">
        <f t="shared" si="2"/>
        <v>0.90522931302961829</v>
      </c>
      <c r="K39" s="134">
        <f t="shared" ref="K39:K58" si="8">C39/B39-1</f>
        <v>2.5185185185185186</v>
      </c>
      <c r="L39" s="17">
        <f t="shared" ref="L39:L58" si="9">D39/C39-1</f>
        <v>0.32631578947368411</v>
      </c>
      <c r="M39" s="17">
        <f t="shared" ref="M39:M58" si="10">E39/D39-1</f>
        <v>5.166666666666667</v>
      </c>
      <c r="N39" s="17">
        <f t="shared" ref="N39:N58" si="11">F39/E39-1</f>
        <v>-0.15444015444015446</v>
      </c>
      <c r="O39" s="135">
        <f t="shared" ref="O39:O58" si="12">G39/F39-1</f>
        <v>-0.57838660578386603</v>
      </c>
    </row>
    <row r="40" spans="1:15" ht="15.75" customHeight="1">
      <c r="A40" s="147" t="s">
        <v>34</v>
      </c>
      <c r="B40" s="33">
        <v>58</v>
      </c>
      <c r="C40" s="33">
        <v>115</v>
      </c>
      <c r="D40" s="35"/>
      <c r="E40" s="35"/>
      <c r="F40" s="35"/>
      <c r="G40" s="149"/>
      <c r="I40" s="17"/>
      <c r="K40" s="134">
        <f t="shared" si="8"/>
        <v>0.98275862068965525</v>
      </c>
      <c r="L40" s="17">
        <f t="shared" si="9"/>
        <v>-1</v>
      </c>
      <c r="M40" s="17"/>
      <c r="N40" s="17"/>
      <c r="O40" s="135"/>
    </row>
    <row r="41" spans="1:15" ht="15.75" customHeight="1">
      <c r="A41" s="147" t="s">
        <v>38</v>
      </c>
      <c r="B41" s="33">
        <v>334</v>
      </c>
      <c r="C41" s="33">
        <v>413</v>
      </c>
      <c r="D41" s="33">
        <v>47</v>
      </c>
      <c r="E41" s="33"/>
      <c r="F41" s="33"/>
      <c r="G41" s="149"/>
      <c r="I41" s="17"/>
      <c r="K41" s="134">
        <f t="shared" si="8"/>
        <v>0.23652694610778435</v>
      </c>
      <c r="L41" s="17">
        <f t="shared" si="9"/>
        <v>-0.8861985472154964</v>
      </c>
      <c r="M41" s="17">
        <f t="shared" si="10"/>
        <v>-1</v>
      </c>
      <c r="N41" s="17"/>
      <c r="O41" s="135"/>
    </row>
    <row r="42" spans="1:15" ht="15.75" customHeight="1">
      <c r="A42" s="147" t="s">
        <v>41</v>
      </c>
      <c r="B42" s="33">
        <v>-250</v>
      </c>
      <c r="C42" s="33">
        <v>-329</v>
      </c>
      <c r="D42" s="33">
        <v>-3945</v>
      </c>
      <c r="E42" s="33">
        <v>-593</v>
      </c>
      <c r="F42" s="33">
        <v>-538</v>
      </c>
      <c r="G42" s="148">
        <v>-205</v>
      </c>
      <c r="I42" s="17">
        <f t="shared" si="2"/>
        <v>0.17813608794957658</v>
      </c>
      <c r="K42" s="134">
        <f t="shared" si="8"/>
        <v>0.31600000000000006</v>
      </c>
      <c r="L42" s="17">
        <f t="shared" si="9"/>
        <v>10.990881458966566</v>
      </c>
      <c r="M42" s="17">
        <f t="shared" si="10"/>
        <v>-0.84968314321926486</v>
      </c>
      <c r="N42" s="17">
        <f t="shared" si="11"/>
        <v>-9.2748735244519431E-2</v>
      </c>
      <c r="O42" s="135">
        <f t="shared" si="12"/>
        <v>-0.61895910780669139</v>
      </c>
    </row>
    <row r="43" spans="1:15" ht="15.75" customHeight="1">
      <c r="A43" s="147" t="s">
        <v>43</v>
      </c>
      <c r="B43" s="33">
        <v>-2153</v>
      </c>
      <c r="C43" s="33">
        <v>-1772</v>
      </c>
      <c r="D43" s="35"/>
      <c r="E43" s="33">
        <v>-2980</v>
      </c>
      <c r="F43" s="33">
        <v>-3643</v>
      </c>
      <c r="G43" s="148">
        <v>-2490</v>
      </c>
      <c r="I43" s="17">
        <f t="shared" si="2"/>
        <v>0.27154524425183757</v>
      </c>
      <c r="K43" s="134">
        <f t="shared" si="8"/>
        <v>-0.17696237807710169</v>
      </c>
      <c r="L43" s="17">
        <f t="shared" si="9"/>
        <v>-1</v>
      </c>
      <c r="M43" s="17"/>
      <c r="N43" s="17">
        <f t="shared" si="11"/>
        <v>0.22248322147651001</v>
      </c>
      <c r="O43" s="135">
        <f t="shared" si="12"/>
        <v>-0.3164973922591271</v>
      </c>
    </row>
    <row r="44" spans="1:15" ht="15.75" customHeight="1">
      <c r="A44" s="147" t="s">
        <v>44</v>
      </c>
      <c r="B44" s="33">
        <v>-1468</v>
      </c>
      <c r="C44" s="33">
        <v>-1202</v>
      </c>
      <c r="D44" s="35"/>
      <c r="E44" s="33">
        <v>-1881</v>
      </c>
      <c r="F44" s="33">
        <v>-2343</v>
      </c>
      <c r="G44" s="148">
        <v>-1285</v>
      </c>
      <c r="I44" s="17">
        <f t="shared" si="2"/>
        <v>0.249173052603338</v>
      </c>
      <c r="K44" s="134">
        <f t="shared" si="8"/>
        <v>-0.18119891008174382</v>
      </c>
      <c r="L44" s="17">
        <f t="shared" si="9"/>
        <v>-1</v>
      </c>
      <c r="M44" s="17"/>
      <c r="N44" s="17">
        <f t="shared" si="11"/>
        <v>0.2456140350877194</v>
      </c>
      <c r="O44" s="135">
        <f t="shared" si="12"/>
        <v>-0.45155783183952203</v>
      </c>
    </row>
    <row r="45" spans="1:15" ht="15.75" customHeight="1">
      <c r="A45" s="150" t="s">
        <v>46</v>
      </c>
      <c r="B45" s="34">
        <v>1051</v>
      </c>
      <c r="C45" s="34">
        <v>384</v>
      </c>
      <c r="D45" s="34">
        <v>904</v>
      </c>
      <c r="E45" s="34">
        <v>557</v>
      </c>
      <c r="F45" s="34">
        <v>425</v>
      </c>
      <c r="G45" s="151">
        <v>788</v>
      </c>
      <c r="I45" s="17">
        <f t="shared" si="2"/>
        <v>3.4393783588501758E-2</v>
      </c>
      <c r="K45" s="132">
        <f t="shared" si="8"/>
        <v>-0.63463368220742145</v>
      </c>
      <c r="L45" s="161">
        <f t="shared" si="9"/>
        <v>1.3541666666666665</v>
      </c>
      <c r="M45" s="161">
        <f t="shared" si="10"/>
        <v>-0.38384955752212391</v>
      </c>
      <c r="N45" s="161">
        <f t="shared" si="11"/>
        <v>-0.23698384201077194</v>
      </c>
      <c r="O45" s="133">
        <f t="shared" si="12"/>
        <v>0.85411764705882343</v>
      </c>
    </row>
    <row r="46" spans="1:15" ht="15.75" customHeight="1">
      <c r="A46" s="147" t="s">
        <v>47</v>
      </c>
      <c r="B46" s="33">
        <v>-203</v>
      </c>
      <c r="C46" s="33">
        <v>-110</v>
      </c>
      <c r="D46" s="33">
        <v>-171</v>
      </c>
      <c r="E46" s="33">
        <v>-124</v>
      </c>
      <c r="F46" s="33">
        <v>-101</v>
      </c>
      <c r="G46" s="148">
        <v>-201</v>
      </c>
      <c r="I46" s="17">
        <f t="shared" si="2"/>
        <v>-2.8052300417969245E-2</v>
      </c>
      <c r="K46" s="134">
        <f t="shared" si="8"/>
        <v>-0.45812807881773399</v>
      </c>
      <c r="L46" s="17">
        <f t="shared" si="9"/>
        <v>0.55454545454545445</v>
      </c>
      <c r="M46" s="17">
        <f t="shared" si="10"/>
        <v>-0.27485380116959068</v>
      </c>
      <c r="N46" s="17">
        <f t="shared" si="11"/>
        <v>-0.18548387096774188</v>
      </c>
      <c r="O46" s="135">
        <f t="shared" si="12"/>
        <v>0.99009900990099009</v>
      </c>
    </row>
    <row r="47" spans="1:15" ht="15.75" customHeight="1">
      <c r="A47" s="150" t="s">
        <v>219</v>
      </c>
      <c r="B47" s="34">
        <v>848</v>
      </c>
      <c r="C47" s="34">
        <v>274</v>
      </c>
      <c r="D47" s="34">
        <v>733</v>
      </c>
      <c r="E47" s="34">
        <v>433</v>
      </c>
      <c r="F47" s="34">
        <v>324</v>
      </c>
      <c r="G47" s="151">
        <v>587</v>
      </c>
      <c r="I47" s="17">
        <f t="shared" si="2"/>
        <v>5.7462111719003284E-2</v>
      </c>
      <c r="K47" s="132">
        <f t="shared" si="8"/>
        <v>-0.67688679245283012</v>
      </c>
      <c r="L47" s="161">
        <f t="shared" si="9"/>
        <v>1.6751824817518246</v>
      </c>
      <c r="M47" s="161">
        <f t="shared" si="10"/>
        <v>-0.40927694406548432</v>
      </c>
      <c r="N47" s="161">
        <f t="shared" si="11"/>
        <v>-0.25173210161662818</v>
      </c>
      <c r="O47" s="133">
        <f t="shared" si="12"/>
        <v>0.81172839506172845</v>
      </c>
    </row>
    <row r="48" spans="1:15" ht="15.75" customHeight="1">
      <c r="A48" s="150" t="s">
        <v>220</v>
      </c>
      <c r="B48" s="34"/>
      <c r="C48" s="34"/>
      <c r="D48" s="34"/>
      <c r="E48" s="34"/>
      <c r="F48" s="34"/>
      <c r="G48" s="151"/>
      <c r="I48" s="17"/>
      <c r="K48" s="132"/>
      <c r="L48" s="161"/>
      <c r="M48" s="161"/>
      <c r="N48" s="161"/>
      <c r="O48" s="133"/>
    </row>
    <row r="49" spans="1:15" ht="15.75" customHeight="1">
      <c r="A49" s="155" t="s">
        <v>221</v>
      </c>
      <c r="B49" s="156"/>
      <c r="C49" s="156"/>
      <c r="D49" s="156"/>
      <c r="E49" s="156"/>
      <c r="F49" s="156"/>
      <c r="G49" s="157"/>
      <c r="I49" s="17"/>
      <c r="K49" s="132"/>
      <c r="L49" s="161"/>
      <c r="M49" s="161"/>
      <c r="N49" s="161"/>
      <c r="O49" s="133"/>
    </row>
    <row r="50" spans="1:15" ht="15.75" customHeight="1">
      <c r="A50" s="147" t="s">
        <v>144</v>
      </c>
      <c r="B50" s="33"/>
      <c r="C50" s="33"/>
      <c r="D50" s="33"/>
      <c r="E50" s="33"/>
      <c r="F50" s="33"/>
      <c r="G50" s="148"/>
      <c r="I50" s="17"/>
      <c r="K50" s="132"/>
      <c r="L50" s="161"/>
      <c r="M50" s="161"/>
      <c r="N50" s="161"/>
      <c r="O50" s="133"/>
    </row>
    <row r="51" spans="1:15" ht="15.75" customHeight="1">
      <c r="A51" s="147" t="s">
        <v>222</v>
      </c>
      <c r="B51" s="33">
        <v>137</v>
      </c>
      <c r="C51" s="33">
        <v>59</v>
      </c>
      <c r="D51" s="33">
        <v>-210</v>
      </c>
      <c r="E51" s="33">
        <v>23</v>
      </c>
      <c r="F51" s="33">
        <v>128</v>
      </c>
      <c r="G51" s="148">
        <v>-38</v>
      </c>
      <c r="I51" s="17">
        <f t="shared" si="2"/>
        <v>0.29455146144772693</v>
      </c>
      <c r="K51" s="134">
        <f t="shared" si="8"/>
        <v>-0.56934306569343063</v>
      </c>
      <c r="L51" s="17">
        <f t="shared" si="9"/>
        <v>-4.5593220338983045</v>
      </c>
      <c r="M51" s="17">
        <f t="shared" si="10"/>
        <v>-1.1095238095238096</v>
      </c>
      <c r="N51" s="17">
        <f t="shared" si="11"/>
        <v>4.5652173913043477</v>
      </c>
      <c r="O51" s="135">
        <f t="shared" si="12"/>
        <v>-1.296875</v>
      </c>
    </row>
    <row r="52" spans="1:15" ht="15.75" customHeight="1">
      <c r="A52" s="147" t="s">
        <v>223</v>
      </c>
      <c r="B52" s="33">
        <v>36</v>
      </c>
      <c r="C52" s="33">
        <v>-18</v>
      </c>
      <c r="D52" s="33"/>
      <c r="E52" s="33">
        <v>273</v>
      </c>
      <c r="F52" s="33">
        <v>18</v>
      </c>
      <c r="G52" s="148">
        <v>-21</v>
      </c>
      <c r="I52" s="17">
        <f t="shared" si="2"/>
        <v>-2</v>
      </c>
      <c r="K52" s="134">
        <f t="shared" si="8"/>
        <v>-1.5</v>
      </c>
      <c r="L52" s="17">
        <f t="shared" si="9"/>
        <v>-1</v>
      </c>
      <c r="M52" s="17"/>
      <c r="N52" s="17">
        <f t="shared" si="11"/>
        <v>-0.93406593406593408</v>
      </c>
      <c r="O52" s="135">
        <f t="shared" si="12"/>
        <v>-2.166666666666667</v>
      </c>
    </row>
    <row r="53" spans="1:15" ht="15.75" customHeight="1">
      <c r="A53" s="147" t="s">
        <v>224</v>
      </c>
      <c r="B53" s="33">
        <v>-37</v>
      </c>
      <c r="C53" s="33">
        <v>-6</v>
      </c>
      <c r="D53" s="33"/>
      <c r="E53" s="33">
        <v>-60</v>
      </c>
      <c r="F53" s="33">
        <v>-32</v>
      </c>
      <c r="G53" s="148">
        <v>11</v>
      </c>
      <c r="I53" s="17">
        <f t="shared" si="2"/>
        <v>0.7471609294725976</v>
      </c>
      <c r="K53" s="134">
        <f t="shared" si="8"/>
        <v>-0.83783783783783783</v>
      </c>
      <c r="L53" s="17">
        <f t="shared" si="9"/>
        <v>-1</v>
      </c>
      <c r="M53" s="17"/>
      <c r="N53" s="17">
        <f t="shared" si="11"/>
        <v>-0.46666666666666667</v>
      </c>
      <c r="O53" s="135">
        <f t="shared" si="12"/>
        <v>-1.34375</v>
      </c>
    </row>
    <row r="54" spans="1:15" ht="15.75" customHeight="1">
      <c r="A54" s="155" t="s">
        <v>225</v>
      </c>
      <c r="B54" s="156"/>
      <c r="C54" s="156"/>
      <c r="D54" s="156"/>
      <c r="E54" s="156"/>
      <c r="F54" s="156"/>
      <c r="G54" s="157"/>
      <c r="I54" s="17"/>
      <c r="K54" s="134"/>
      <c r="L54" s="17"/>
      <c r="M54" s="17"/>
      <c r="N54" s="17"/>
      <c r="O54" s="135"/>
    </row>
    <row r="55" spans="1:15" ht="15.75" customHeight="1">
      <c r="A55" s="147" t="s">
        <v>226</v>
      </c>
      <c r="B55" s="33">
        <v>25</v>
      </c>
      <c r="C55" s="33">
        <v>30</v>
      </c>
      <c r="D55" s="33">
        <v>3</v>
      </c>
      <c r="E55" s="33">
        <v>-24</v>
      </c>
      <c r="F55" s="33">
        <v>125</v>
      </c>
      <c r="G55" s="148">
        <v>-19</v>
      </c>
      <c r="I55" s="17">
        <f t="shared" si="2"/>
        <v>0.60914897434271631</v>
      </c>
      <c r="K55" s="134">
        <f t="shared" si="8"/>
        <v>0.19999999999999996</v>
      </c>
      <c r="L55" s="17">
        <f t="shared" si="9"/>
        <v>-0.9</v>
      </c>
      <c r="M55" s="17">
        <f t="shared" si="10"/>
        <v>-9</v>
      </c>
      <c r="N55" s="17">
        <f t="shared" si="11"/>
        <v>-6.208333333333333</v>
      </c>
      <c r="O55" s="135">
        <f t="shared" si="12"/>
        <v>-1.1519999999999999</v>
      </c>
    </row>
    <row r="56" spans="1:15" ht="15.75" customHeight="1">
      <c r="A56" s="147" t="s">
        <v>227</v>
      </c>
      <c r="B56" s="35"/>
      <c r="C56" s="33">
        <v>43</v>
      </c>
      <c r="D56" s="33"/>
      <c r="E56" s="33">
        <v>6</v>
      </c>
      <c r="F56" s="33">
        <v>22</v>
      </c>
      <c r="G56" s="149" t="s">
        <v>27</v>
      </c>
      <c r="I56" s="17">
        <f t="shared" si="2"/>
        <v>-0.20019384541587526</v>
      </c>
      <c r="K56" s="134"/>
      <c r="L56" s="17">
        <f t="shared" si="9"/>
        <v>-1</v>
      </c>
      <c r="M56" s="17"/>
      <c r="N56" s="17">
        <f t="shared" si="11"/>
        <v>2.6666666666666665</v>
      </c>
      <c r="O56" s="135"/>
    </row>
    <row r="57" spans="1:15" ht="15.75" customHeight="1">
      <c r="A57" s="147" t="s">
        <v>224</v>
      </c>
      <c r="B57" s="33">
        <v>-5</v>
      </c>
      <c r="C57" s="33">
        <v>-15</v>
      </c>
      <c r="D57" s="33"/>
      <c r="E57" s="33">
        <v>3</v>
      </c>
      <c r="F57" s="33">
        <v>-29</v>
      </c>
      <c r="G57" s="148">
        <v>4</v>
      </c>
      <c r="I57" s="17">
        <f t="shared" si="2"/>
        <v>0.24576343521467958</v>
      </c>
      <c r="K57" s="134">
        <f t="shared" si="8"/>
        <v>2</v>
      </c>
      <c r="L57" s="17">
        <f t="shared" si="9"/>
        <v>-1</v>
      </c>
      <c r="M57" s="17"/>
      <c r="N57" s="17">
        <f t="shared" si="11"/>
        <v>-10.666666666666666</v>
      </c>
      <c r="O57" s="135">
        <f t="shared" si="12"/>
        <v>-1.1379310344827587</v>
      </c>
    </row>
    <row r="58" spans="1:15" ht="15.75" customHeight="1">
      <c r="A58" s="150" t="s">
        <v>228</v>
      </c>
      <c r="B58" s="34">
        <v>156</v>
      </c>
      <c r="C58" s="34">
        <v>93</v>
      </c>
      <c r="D58" s="34">
        <v>-207</v>
      </c>
      <c r="E58" s="34">
        <v>221</v>
      </c>
      <c r="F58" s="34">
        <v>232</v>
      </c>
      <c r="G58" s="151">
        <v>-63</v>
      </c>
      <c r="I58" s="17">
        <f t="shared" si="2"/>
        <v>0.35623520049681989</v>
      </c>
      <c r="K58" s="132">
        <f t="shared" si="8"/>
        <v>-0.40384615384615385</v>
      </c>
      <c r="L58" s="161">
        <f t="shared" si="9"/>
        <v>-3.225806451612903</v>
      </c>
      <c r="M58" s="161">
        <f t="shared" si="10"/>
        <v>-2.0676328502415462</v>
      </c>
      <c r="N58" s="161">
        <f t="shared" si="11"/>
        <v>4.9773755656108642E-2</v>
      </c>
      <c r="O58" s="133">
        <f t="shared" si="12"/>
        <v>-1.271551724137931</v>
      </c>
    </row>
    <row r="59" spans="1:15" ht="15.75" customHeight="1">
      <c r="A59" s="152" t="s">
        <v>229</v>
      </c>
      <c r="B59" s="153">
        <v>1004</v>
      </c>
      <c r="C59" s="153">
        <v>367</v>
      </c>
      <c r="D59" s="153">
        <v>526</v>
      </c>
      <c r="E59" s="153">
        <v>654</v>
      </c>
      <c r="F59" s="153">
        <v>556</v>
      </c>
      <c r="G59" s="154">
        <v>524</v>
      </c>
      <c r="I59" s="17">
        <f t="shared" si="2"/>
        <v>0.14851386506471664</v>
      </c>
      <c r="K59" s="132">
        <f t="shared" ref="K59" si="13">C59/B59-1</f>
        <v>-0.6344621513944223</v>
      </c>
      <c r="L59" s="161">
        <f t="shared" ref="L59" si="14">D59/C59-1</f>
        <v>0.43324250681198917</v>
      </c>
      <c r="M59" s="161">
        <f t="shared" ref="M59" si="15">E59/D59-1</f>
        <v>0.24334600760456282</v>
      </c>
      <c r="N59" s="161">
        <f t="shared" ref="N59" si="16">F59/E59-1</f>
        <v>-0.14984709480122327</v>
      </c>
      <c r="O59" s="133">
        <f t="shared" ref="O59" si="17">G59/F59-1</f>
        <v>-5.7553956834532349E-2</v>
      </c>
    </row>
    <row r="60" spans="1:15" ht="15.75" customHeight="1">
      <c r="I60" s="17"/>
      <c r="K60" s="132"/>
      <c r="L60" s="161"/>
      <c r="M60" s="161"/>
      <c r="N60" s="161"/>
      <c r="O60" s="133"/>
    </row>
    <row r="61" spans="1:15" ht="15.75" customHeight="1">
      <c r="A61" t="s">
        <v>243</v>
      </c>
      <c r="I61" s="17"/>
      <c r="K61" s="132"/>
      <c r="L61" s="161"/>
      <c r="M61" s="161"/>
      <c r="N61" s="161"/>
      <c r="O61" s="133"/>
    </row>
    <row r="62" spans="1:15" ht="15.75" customHeight="1">
      <c r="A62" t="s">
        <v>244</v>
      </c>
      <c r="B62">
        <f>C3+C8</f>
        <v>7622</v>
      </c>
      <c r="C62">
        <f>D3+D8</f>
        <v>7560</v>
      </c>
      <c r="D62">
        <f>E3+E8</f>
        <v>12089</v>
      </c>
      <c r="E62">
        <f>F3+F8</f>
        <v>12798</v>
      </c>
      <c r="F62">
        <f>G3+G8</f>
        <v>10393</v>
      </c>
      <c r="I62" s="17">
        <f t="shared" si="2"/>
        <v>0.1119187250108975</v>
      </c>
      <c r="K62" s="134">
        <f t="shared" ref="K62:K81" si="18">C62/B62-1</f>
        <v>-8.1343479401732033E-3</v>
      </c>
      <c r="L62" s="17">
        <f t="shared" ref="L62:L81" si="19">D62/C62-1</f>
        <v>0.59907407407407409</v>
      </c>
      <c r="M62" s="17">
        <f t="shared" ref="M62:M81" si="20">E62/D62-1</f>
        <v>5.8648358011415436E-2</v>
      </c>
      <c r="N62" s="17">
        <f t="shared" ref="N62:N81" si="21">F62/E62-1</f>
        <v>-0.18791998749804661</v>
      </c>
      <c r="O62" s="135"/>
    </row>
    <row r="63" spans="1:15" ht="15.75" customHeight="1">
      <c r="A63" s="159" t="s">
        <v>245</v>
      </c>
      <c r="B63" s="158">
        <f t="shared" ref="B63:F63" si="22">B62/B68</f>
        <v>0.88217592592592597</v>
      </c>
      <c r="C63" s="158">
        <f t="shared" si="22"/>
        <v>0.91691934505761064</v>
      </c>
      <c r="D63" s="158">
        <f t="shared" si="22"/>
        <v>0.89014063765554818</v>
      </c>
      <c r="E63" s="158">
        <f t="shared" si="22"/>
        <v>0.88653366583541149</v>
      </c>
      <c r="F63" s="158">
        <f t="shared" si="22"/>
        <v>0.91884006719122979</v>
      </c>
      <c r="I63" s="17">
        <f t="shared" si="2"/>
        <v>6.9776495050111187E-4</v>
      </c>
      <c r="K63" s="134">
        <f t="shared" si="18"/>
        <v>3.9383776082098532E-2</v>
      </c>
      <c r="L63" s="17">
        <f t="shared" si="19"/>
        <v>-2.920508499074137E-2</v>
      </c>
      <c r="M63" s="17">
        <f t="shared" si="20"/>
        <v>-4.0521370079639185E-3</v>
      </c>
      <c r="N63" s="17">
        <f t="shared" si="21"/>
        <v>3.6441257225550361E-2</v>
      </c>
      <c r="O63" s="135"/>
    </row>
    <row r="64" spans="1:15" ht="15.75" customHeight="1">
      <c r="A64" t="s">
        <v>23</v>
      </c>
      <c r="B64">
        <f>C22</f>
        <v>395</v>
      </c>
      <c r="C64">
        <f>D22</f>
        <v>512</v>
      </c>
      <c r="D64">
        <f>E22</f>
        <v>715</v>
      </c>
      <c r="E64">
        <f>F22</f>
        <v>981</v>
      </c>
      <c r="F64">
        <f>G22</f>
        <v>641</v>
      </c>
      <c r="I64" s="17">
        <f t="shared" si="2"/>
        <v>7.7778103755958394E-2</v>
      </c>
      <c r="K64" s="134">
        <f t="shared" si="18"/>
        <v>0.29620253164556964</v>
      </c>
      <c r="L64" s="17">
        <f t="shared" si="19"/>
        <v>0.396484375</v>
      </c>
      <c r="M64" s="17">
        <f t="shared" si="20"/>
        <v>0.372027972027972</v>
      </c>
      <c r="N64" s="17">
        <f t="shared" si="21"/>
        <v>-0.34658511722731911</v>
      </c>
      <c r="O64" s="135"/>
    </row>
    <row r="65" spans="1:15" ht="15.75" customHeight="1">
      <c r="A65" s="159" t="s">
        <v>246</v>
      </c>
      <c r="B65" s="158">
        <f t="shared" ref="B65:F65" si="23">B64/B68</f>
        <v>4.5717592592592594E-2</v>
      </c>
      <c r="C65" s="158">
        <f t="shared" si="23"/>
        <v>6.2098241358399031E-2</v>
      </c>
      <c r="D65" s="158">
        <f t="shared" si="23"/>
        <v>5.2647080480082466E-2</v>
      </c>
      <c r="E65" s="158">
        <f t="shared" si="23"/>
        <v>6.7955112219451372E-2</v>
      </c>
      <c r="F65" s="158">
        <f t="shared" si="23"/>
        <v>5.6670497745557422E-2</v>
      </c>
      <c r="I65" s="17">
        <f t="shared" si="2"/>
        <v>-3.0027901067493312E-2</v>
      </c>
      <c r="K65" s="134">
        <f t="shared" si="18"/>
        <v>0.35830077300396868</v>
      </c>
      <c r="L65" s="17">
        <f t="shared" si="19"/>
        <v>-0.15219691687835957</v>
      </c>
      <c r="M65" s="17">
        <f t="shared" si="20"/>
        <v>0.29076696370960708</v>
      </c>
      <c r="N65" s="17">
        <f t="shared" si="21"/>
        <v>-0.16605983134060454</v>
      </c>
      <c r="O65" s="135"/>
    </row>
    <row r="66" spans="1:15" ht="15.75" customHeight="1">
      <c r="A66" t="s">
        <v>247</v>
      </c>
      <c r="B66">
        <f>SUM(C39:C41)</f>
        <v>623</v>
      </c>
      <c r="C66">
        <f>SUM(D39:D41)</f>
        <v>173</v>
      </c>
      <c r="D66">
        <f>SUM(E39:E41)</f>
        <v>777</v>
      </c>
      <c r="E66">
        <f>SUM(F39:F41)</f>
        <v>657</v>
      </c>
      <c r="F66">
        <f>SUM(G39:G41)</f>
        <v>277</v>
      </c>
      <c r="I66" s="17">
        <f t="shared" si="2"/>
        <v>0.16988872474348704</v>
      </c>
      <c r="K66" s="134">
        <f t="shared" si="18"/>
        <v>-0.7223113964686998</v>
      </c>
      <c r="L66" s="17">
        <f t="shared" si="19"/>
        <v>3.4913294797687859</v>
      </c>
      <c r="M66" s="17">
        <f t="shared" si="20"/>
        <v>-0.15444015444015446</v>
      </c>
      <c r="N66" s="17">
        <f t="shared" si="21"/>
        <v>-0.57838660578386603</v>
      </c>
      <c r="O66" s="135"/>
    </row>
    <row r="67" spans="1:15" ht="15.75" customHeight="1">
      <c r="A67" s="159" t="s">
        <v>248</v>
      </c>
      <c r="B67" s="158">
        <f t="shared" ref="B67:F67" si="24">B66/B68</f>
        <v>7.210648148148148E-2</v>
      </c>
      <c r="C67" s="158">
        <f t="shared" si="24"/>
        <v>2.0982413583990295E-2</v>
      </c>
      <c r="D67" s="158">
        <f t="shared" si="24"/>
        <v>5.7212281864369337E-2</v>
      </c>
      <c r="E67" s="158">
        <f t="shared" si="24"/>
        <v>4.5511221945137161E-2</v>
      </c>
      <c r="F67" s="158">
        <f t="shared" si="24"/>
        <v>2.4489435063212803E-2</v>
      </c>
      <c r="I67" s="17">
        <f t="shared" si="2"/>
        <v>5.286924822686645E-2</v>
      </c>
      <c r="K67" s="134">
        <f t="shared" si="18"/>
        <v>-0.70900794002299172</v>
      </c>
      <c r="L67" s="17">
        <f t="shared" si="19"/>
        <v>1.7266778264261573</v>
      </c>
      <c r="M67" s="17">
        <f t="shared" si="20"/>
        <v>-0.20452007048017018</v>
      </c>
      <c r="N67" s="17">
        <f t="shared" si="21"/>
        <v>-0.46190337203570775</v>
      </c>
      <c r="O67" s="135"/>
    </row>
    <row r="68" spans="1:15" ht="15.75" customHeight="1">
      <c r="A68" s="47" t="s">
        <v>249</v>
      </c>
      <c r="B68" s="47">
        <f t="shared" ref="B68:F68" si="25">B62+B64+B66</f>
        <v>8640</v>
      </c>
      <c r="C68" s="47">
        <f t="shared" si="25"/>
        <v>8245</v>
      </c>
      <c r="D68" s="47">
        <f t="shared" si="25"/>
        <v>13581</v>
      </c>
      <c r="E68" s="47">
        <f t="shared" si="25"/>
        <v>14436</v>
      </c>
      <c r="F68" s="47">
        <f t="shared" si="25"/>
        <v>11311</v>
      </c>
      <c r="I68" s="17">
        <f t="shared" ref="I68:I81" si="26">(F68/C68)^(1/3)-1</f>
        <v>0.11114340808575496</v>
      </c>
      <c r="K68" s="132">
        <f t="shared" si="18"/>
        <v>-4.571759259259256E-2</v>
      </c>
      <c r="L68" s="161">
        <f t="shared" si="19"/>
        <v>0.64718010915706481</v>
      </c>
      <c r="M68" s="161">
        <f t="shared" si="20"/>
        <v>6.2955599734923817E-2</v>
      </c>
      <c r="N68" s="161">
        <f t="shared" si="21"/>
        <v>-0.21647270712108613</v>
      </c>
      <c r="O68" s="133"/>
    </row>
    <row r="69" spans="1:15" ht="15.75" customHeight="1">
      <c r="F69" s="120"/>
      <c r="I69" s="17"/>
      <c r="K69" s="132"/>
      <c r="L69" s="161"/>
      <c r="M69" s="161"/>
      <c r="N69" s="161"/>
      <c r="O69" s="133"/>
    </row>
    <row r="70" spans="1:15" ht="15.75" customHeight="1">
      <c r="A70" t="s">
        <v>250</v>
      </c>
      <c r="F70" s="120"/>
      <c r="I70" s="17"/>
      <c r="K70" s="132"/>
      <c r="L70" s="161"/>
      <c r="M70" s="161"/>
      <c r="N70" s="161"/>
      <c r="O70" s="133"/>
    </row>
    <row r="71" spans="1:15" ht="15.75" customHeight="1">
      <c r="A71" t="s">
        <v>251</v>
      </c>
      <c r="B71">
        <f>C10+C17</f>
        <v>-3880</v>
      </c>
      <c r="C71">
        <f>D10+D17</f>
        <v>-2969</v>
      </c>
      <c r="D71">
        <f>E10+E17</f>
        <v>-6326</v>
      </c>
      <c r="E71">
        <f>F10+F17</f>
        <v>-6484</v>
      </c>
      <c r="F71">
        <f>G10+G17</f>
        <v>-6106</v>
      </c>
      <c r="I71" s="17">
        <f t="shared" si="26"/>
        <v>0.27169276591162128</v>
      </c>
      <c r="K71" s="134">
        <f t="shared" si="18"/>
        <v>-0.23479381443298974</v>
      </c>
      <c r="L71" s="17">
        <f t="shared" si="19"/>
        <v>1.1306837318962613</v>
      </c>
      <c r="M71" s="17">
        <f t="shared" si="20"/>
        <v>2.497628833386023E-2</v>
      </c>
      <c r="N71" s="17">
        <f t="shared" si="21"/>
        <v>-5.8297347316471293E-2</v>
      </c>
      <c r="O71" s="135"/>
    </row>
    <row r="72" spans="1:15" ht="15.75" customHeight="1">
      <c r="A72" s="159" t="s">
        <v>252</v>
      </c>
      <c r="B72" s="158">
        <f t="shared" ref="B72:F72" si="27">B71/B79</f>
        <v>0.46378197465933541</v>
      </c>
      <c r="C72" s="158">
        <f t="shared" si="27"/>
        <v>0.39523429179978703</v>
      </c>
      <c r="D72" s="158">
        <f t="shared" si="27"/>
        <v>0.4811378156373593</v>
      </c>
      <c r="E72" s="158">
        <f t="shared" si="27"/>
        <v>0.4594671201814059</v>
      </c>
      <c r="F72" s="158">
        <f t="shared" si="27"/>
        <v>0.56937709809772474</v>
      </c>
      <c r="I72" s="17">
        <f t="shared" si="26"/>
        <v>0.12940175632886408</v>
      </c>
      <c r="K72" s="134">
        <f t="shared" si="18"/>
        <v>-0.14780152443375816</v>
      </c>
      <c r="L72" s="17">
        <f t="shared" si="19"/>
        <v>0.2173483567086032</v>
      </c>
      <c r="M72" s="17">
        <f t="shared" si="20"/>
        <v>-4.504051594291425E-2</v>
      </c>
      <c r="N72" s="17">
        <f t="shared" si="21"/>
        <v>0.23921184582897781</v>
      </c>
      <c r="O72" s="135"/>
    </row>
    <row r="73" spans="1:15" ht="15.75" customHeight="1">
      <c r="A73" t="s">
        <v>25</v>
      </c>
      <c r="B73">
        <f>C30</f>
        <v>-201</v>
      </c>
      <c r="C73">
        <f>D30</f>
        <v>-237</v>
      </c>
      <c r="D73">
        <f>E30</f>
        <v>-190</v>
      </c>
      <c r="E73">
        <f>F30</f>
        <v>-193</v>
      </c>
      <c r="F73">
        <f>G30</f>
        <v>-124</v>
      </c>
      <c r="I73" s="17">
        <f t="shared" si="26"/>
        <v>-0.19420522609441959</v>
      </c>
      <c r="K73" s="134">
        <f t="shared" si="18"/>
        <v>0.17910447761194037</v>
      </c>
      <c r="L73" s="17">
        <f t="shared" si="19"/>
        <v>-0.19831223628691985</v>
      </c>
      <c r="M73" s="17">
        <f t="shared" si="20"/>
        <v>1.5789473684210575E-2</v>
      </c>
      <c r="N73" s="17">
        <f t="shared" si="21"/>
        <v>-0.3575129533678757</v>
      </c>
      <c r="O73" s="135"/>
    </row>
    <row r="74" spans="1:15" ht="15.75" customHeight="1">
      <c r="A74" s="159" t="s">
        <v>253</v>
      </c>
      <c r="B74" s="158">
        <f t="shared" ref="B74:F74" si="28">B73/B79</f>
        <v>2.4025818790341859E-2</v>
      </c>
      <c r="C74" s="158">
        <f t="shared" si="28"/>
        <v>3.1549520766773163E-2</v>
      </c>
      <c r="D74" s="158">
        <f t="shared" si="28"/>
        <v>1.4450867052023121E-2</v>
      </c>
      <c r="E74" s="158">
        <f t="shared" si="28"/>
        <v>1.3676303854875284E-2</v>
      </c>
      <c r="F74" s="158">
        <f t="shared" si="28"/>
        <v>1.1562849682954122E-2</v>
      </c>
      <c r="I74" s="17">
        <f t="shared" si="26"/>
        <v>-0.28436643088301627</v>
      </c>
      <c r="K74" s="134">
        <f t="shared" si="18"/>
        <v>0.31315070017325519</v>
      </c>
      <c r="L74" s="17">
        <f t="shared" si="19"/>
        <v>-0.54196239116119127</v>
      </c>
      <c r="M74" s="17">
        <f t="shared" si="20"/>
        <v>-5.3599773242630322E-2</v>
      </c>
      <c r="N74" s="17">
        <f t="shared" si="21"/>
        <v>-0.15453401696451519</v>
      </c>
      <c r="O74" s="135"/>
    </row>
    <row r="75" spans="1:15" ht="15.75" customHeight="1">
      <c r="A75" t="s">
        <v>254</v>
      </c>
      <c r="B75">
        <f>SUM(C42:C44)+C46</f>
        <v>-3413</v>
      </c>
      <c r="C75">
        <f>SUM(D42:D44)+D46</f>
        <v>-4116</v>
      </c>
      <c r="D75">
        <f>SUM(E42:E44)+E46</f>
        <v>-5578</v>
      </c>
      <c r="E75">
        <f>SUM(F42:F44)+F46</f>
        <v>-6625</v>
      </c>
      <c r="F75">
        <f>SUM(G42:G44)+G46</f>
        <v>-4181</v>
      </c>
      <c r="I75" s="17">
        <f t="shared" si="26"/>
        <v>5.2365411385897342E-3</v>
      </c>
      <c r="K75" s="134">
        <f t="shared" si="18"/>
        <v>0.20597714620568408</v>
      </c>
      <c r="L75" s="17">
        <f t="shared" si="19"/>
        <v>0.35519922254616132</v>
      </c>
      <c r="M75" s="17">
        <f t="shared" si="20"/>
        <v>0.18770168519182495</v>
      </c>
      <c r="N75" s="17">
        <f t="shared" si="21"/>
        <v>-0.3689056603773585</v>
      </c>
      <c r="O75" s="135"/>
    </row>
    <row r="76" spans="1:15" ht="15.75" customHeight="1">
      <c r="A76" s="159" t="s">
        <v>255</v>
      </c>
      <c r="B76" s="158">
        <f t="shared" ref="B76:F76" si="29">B75/B79</f>
        <v>0.40796079368874016</v>
      </c>
      <c r="C76" s="158">
        <f t="shared" si="29"/>
        <v>0.54792332268370603</v>
      </c>
      <c r="D76" s="158">
        <f t="shared" si="29"/>
        <v>0.4242470337693946</v>
      </c>
      <c r="E76" s="158">
        <f t="shared" si="29"/>
        <v>0.46945861678004536</v>
      </c>
      <c r="F76" s="158">
        <f t="shared" si="29"/>
        <v>0.38987318164863854</v>
      </c>
      <c r="I76" s="17">
        <f t="shared" si="26"/>
        <v>-0.10724040780870769</v>
      </c>
      <c r="K76" s="134">
        <f t="shared" si="18"/>
        <v>0.34307838194312468</v>
      </c>
      <c r="L76" s="17">
        <f t="shared" si="19"/>
        <v>-0.22571824157539055</v>
      </c>
      <c r="M76" s="17">
        <f t="shared" si="20"/>
        <v>0.10656900204805231</v>
      </c>
      <c r="N76" s="17">
        <f t="shared" si="21"/>
        <v>-0.16952598650179818</v>
      </c>
      <c r="O76" s="135"/>
    </row>
    <row r="77" spans="1:15" ht="15.75" customHeight="1">
      <c r="A77" t="s">
        <v>256</v>
      </c>
      <c r="B77">
        <f>C20</f>
        <v>-872</v>
      </c>
      <c r="C77">
        <f>D20</f>
        <v>-190</v>
      </c>
      <c r="D77">
        <f>E20</f>
        <v>-1054</v>
      </c>
      <c r="E77">
        <f>F20</f>
        <v>-810</v>
      </c>
      <c r="F77">
        <f>G20</f>
        <v>-313</v>
      </c>
      <c r="I77" s="17">
        <f t="shared" si="26"/>
        <v>0.18103720473696128</v>
      </c>
      <c r="K77" s="134">
        <f t="shared" si="18"/>
        <v>-0.7821100917431193</v>
      </c>
      <c r="L77" s="17">
        <f t="shared" si="19"/>
        <v>4.5473684210526315</v>
      </c>
      <c r="M77" s="17">
        <f t="shared" si="20"/>
        <v>-0.23149905123339654</v>
      </c>
      <c r="N77" s="17">
        <f t="shared" si="21"/>
        <v>-0.61358024691358026</v>
      </c>
      <c r="O77" s="135"/>
    </row>
    <row r="78" spans="1:15" ht="15.75" customHeight="1">
      <c r="A78" s="159" t="s">
        <v>257</v>
      </c>
      <c r="B78" s="158">
        <f t="shared" ref="B78:F78" si="30">B77/B79</f>
        <v>0.10423141286158259</v>
      </c>
      <c r="C78" s="158">
        <f t="shared" si="30"/>
        <v>2.5292864749733759E-2</v>
      </c>
      <c r="D78" s="158">
        <f t="shared" si="30"/>
        <v>8.0164283541223E-2</v>
      </c>
      <c r="E78" s="158">
        <f t="shared" si="30"/>
        <v>5.7397959183673471E-2</v>
      </c>
      <c r="F78" s="158">
        <f t="shared" si="30"/>
        <v>2.9186870570682581E-2</v>
      </c>
      <c r="I78" s="17">
        <f t="shared" si="26"/>
        <v>4.8889738995618215E-2</v>
      </c>
      <c r="K78" s="134">
        <f t="shared" si="18"/>
        <v>-0.7573393274125314</v>
      </c>
      <c r="L78" s="17">
        <f t="shared" si="19"/>
        <v>2.1694426208508797</v>
      </c>
      <c r="M78" s="17">
        <f t="shared" si="20"/>
        <v>-0.28399585640707892</v>
      </c>
      <c r="N78" s="17">
        <f t="shared" si="21"/>
        <v>-0.49149985494633019</v>
      </c>
      <c r="O78" s="135"/>
    </row>
    <row r="79" spans="1:15" ht="15.75" customHeight="1">
      <c r="A79" s="47" t="s">
        <v>258</v>
      </c>
      <c r="B79" s="47">
        <f t="shared" ref="B79:F79" si="31">B71+B73+B75+B77</f>
        <v>-8366</v>
      </c>
      <c r="C79" s="47">
        <f t="shared" si="31"/>
        <v>-7512</v>
      </c>
      <c r="D79" s="47">
        <f t="shared" si="31"/>
        <v>-13148</v>
      </c>
      <c r="E79" s="47">
        <f t="shared" si="31"/>
        <v>-14112</v>
      </c>
      <c r="F79" s="47">
        <f t="shared" si="31"/>
        <v>-10724</v>
      </c>
      <c r="I79" s="17">
        <f t="shared" si="26"/>
        <v>0.12598794785415968</v>
      </c>
      <c r="K79" s="132">
        <f t="shared" si="18"/>
        <v>-0.10207984699976091</v>
      </c>
      <c r="L79" s="161">
        <f t="shared" si="19"/>
        <v>0.7502662406815761</v>
      </c>
      <c r="M79" s="161">
        <f t="shared" si="20"/>
        <v>7.3319135990264739E-2</v>
      </c>
      <c r="N79" s="161">
        <f t="shared" si="21"/>
        <v>-0.24007936507936511</v>
      </c>
      <c r="O79" s="133"/>
    </row>
    <row r="80" spans="1:15" ht="15.75" customHeight="1">
      <c r="F80" s="120"/>
      <c r="I80" s="17"/>
      <c r="K80" s="132"/>
      <c r="L80" s="161"/>
      <c r="M80" s="161"/>
      <c r="N80" s="161"/>
      <c r="O80" s="133"/>
    </row>
    <row r="81" spans="1:15" ht="15.75" customHeight="1">
      <c r="A81" s="47" t="s">
        <v>259</v>
      </c>
      <c r="B81" s="47">
        <f t="shared" ref="B81:F81" si="32">B68+B79</f>
        <v>274</v>
      </c>
      <c r="C81" s="47">
        <f t="shared" si="32"/>
        <v>733</v>
      </c>
      <c r="D81" s="47">
        <f t="shared" si="32"/>
        <v>433</v>
      </c>
      <c r="E81" s="47">
        <f t="shared" si="32"/>
        <v>324</v>
      </c>
      <c r="F81" s="47">
        <f t="shared" si="32"/>
        <v>587</v>
      </c>
      <c r="I81" s="17">
        <f t="shared" si="26"/>
        <v>-7.1365725320181372E-2</v>
      </c>
      <c r="K81" s="137">
        <f t="shared" si="18"/>
        <v>1.6751824817518246</v>
      </c>
      <c r="L81" s="138">
        <f t="shared" si="19"/>
        <v>-0.40927694406548432</v>
      </c>
      <c r="M81" s="138">
        <f t="shared" si="20"/>
        <v>-0.25173210161662818</v>
      </c>
      <c r="N81" s="138">
        <f t="shared" si="21"/>
        <v>0.81172839506172845</v>
      </c>
      <c r="O81" s="13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AE2B-8961-1043-BD34-CC7CD2F0E54D}">
  <dimension ref="A1:DG97"/>
  <sheetViews>
    <sheetView tabSelected="1" topLeftCell="C46" zoomScale="75" workbookViewId="0">
      <selection activeCell="Q72" sqref="Q72"/>
    </sheetView>
  </sheetViews>
  <sheetFormatPr baseColWidth="10" defaultColWidth="11" defaultRowHeight="16"/>
  <sheetData>
    <row r="1" spans="1:2" ht="19">
      <c r="A1" s="303" t="s">
        <v>261</v>
      </c>
      <c r="B1" s="303"/>
    </row>
    <row r="23" spans="1:111" ht="17" thickBot="1">
      <c r="A23" s="282"/>
      <c r="B23" s="282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  <c r="AE23" s="282"/>
      <c r="AF23" s="282"/>
      <c r="AG23" s="282"/>
      <c r="AH23" s="282"/>
      <c r="AI23" s="282"/>
      <c r="AJ23" s="282"/>
      <c r="AK23" s="282"/>
      <c r="AL23" s="282"/>
      <c r="AM23" s="282"/>
      <c r="AN23" s="282"/>
      <c r="AO23" s="282"/>
      <c r="AP23" s="282"/>
      <c r="AQ23" s="282"/>
      <c r="AR23" s="282"/>
      <c r="AS23" s="282"/>
      <c r="AT23" s="282"/>
      <c r="AU23" s="282"/>
      <c r="AV23" s="282"/>
      <c r="AW23" s="282"/>
      <c r="AX23" s="282"/>
      <c r="AY23" s="282"/>
      <c r="AZ23" s="282"/>
      <c r="BA23" s="282"/>
      <c r="BB23" s="282"/>
      <c r="BC23" s="282"/>
      <c r="BD23" s="282"/>
      <c r="BE23" s="282"/>
      <c r="BF23" s="282"/>
      <c r="BG23" s="282"/>
      <c r="BH23" s="282"/>
      <c r="BI23" s="282"/>
      <c r="BJ23" s="282"/>
      <c r="BK23" s="282"/>
      <c r="BL23" s="282"/>
      <c r="BM23" s="282"/>
      <c r="BN23" s="282"/>
      <c r="BO23" s="282"/>
      <c r="BP23" s="282"/>
      <c r="BQ23" s="282"/>
      <c r="BR23" s="282"/>
      <c r="BS23" s="282"/>
      <c r="BT23" s="282"/>
      <c r="BU23" s="282"/>
      <c r="BV23" s="282"/>
      <c r="BW23" s="282"/>
      <c r="BX23" s="282"/>
      <c r="BY23" s="282"/>
      <c r="BZ23" s="282"/>
      <c r="CA23" s="282"/>
      <c r="CB23" s="282"/>
      <c r="CC23" s="282"/>
      <c r="CD23" s="282"/>
      <c r="CE23" s="282"/>
      <c r="CF23" s="282"/>
      <c r="CG23" s="282"/>
      <c r="CH23" s="282"/>
      <c r="CI23" s="282"/>
      <c r="CJ23" s="282"/>
      <c r="CK23" s="282"/>
      <c r="CL23" s="282"/>
      <c r="CM23" s="282"/>
      <c r="CN23" s="282"/>
      <c r="CO23" s="282"/>
      <c r="CP23" s="282"/>
      <c r="CQ23" s="282"/>
      <c r="CR23" s="282"/>
      <c r="CS23" s="282"/>
      <c r="CT23" s="282"/>
      <c r="CU23" s="282"/>
      <c r="CV23" s="282"/>
      <c r="CW23" s="282"/>
      <c r="CX23" s="282"/>
      <c r="CY23" s="282"/>
      <c r="CZ23" s="282"/>
      <c r="DA23" s="282"/>
      <c r="DB23" s="282"/>
      <c r="DC23" s="282"/>
      <c r="DD23" s="282"/>
      <c r="DE23" s="282"/>
      <c r="DF23" s="282"/>
      <c r="DG23" s="282"/>
    </row>
    <row r="24" spans="1:111" ht="21">
      <c r="A24" s="284" t="s">
        <v>260</v>
      </c>
      <c r="B24" s="285"/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  <c r="AG24" s="283"/>
      <c r="AH24" s="283"/>
      <c r="AI24" s="283"/>
      <c r="AJ24" s="283"/>
      <c r="AK24" s="283"/>
      <c r="AL24" s="283"/>
      <c r="AM24" s="283"/>
      <c r="AN24" s="283"/>
      <c r="AO24" s="283"/>
      <c r="AP24" s="283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</row>
    <row r="46" spans="1:70" ht="17" thickBot="1">
      <c r="A46" s="282"/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282"/>
      <c r="P46" s="282"/>
      <c r="Q46" s="282"/>
      <c r="R46" s="282"/>
      <c r="S46" s="282"/>
      <c r="T46" s="282"/>
      <c r="U46" s="282"/>
      <c r="V46" s="282"/>
      <c r="W46" s="282"/>
      <c r="X46" s="282"/>
      <c r="Y46" s="282"/>
      <c r="Z46" s="282"/>
      <c r="AA46" s="282"/>
      <c r="AB46" s="282"/>
      <c r="AC46" s="282"/>
      <c r="AD46" s="282"/>
      <c r="AE46" s="282"/>
      <c r="AF46" s="282"/>
      <c r="AG46" s="282"/>
      <c r="AH46" s="282"/>
      <c r="AI46" s="282"/>
      <c r="AJ46" s="282"/>
      <c r="AK46" s="282"/>
      <c r="AL46" s="282"/>
      <c r="AM46" s="282"/>
      <c r="AN46" s="282"/>
      <c r="AO46" s="282"/>
      <c r="AP46" s="282"/>
      <c r="AQ46" s="282"/>
      <c r="AR46" s="282"/>
      <c r="AS46" s="282"/>
      <c r="AT46" s="282"/>
      <c r="AU46" s="282"/>
      <c r="AV46" s="282"/>
      <c r="AW46" s="282"/>
      <c r="AX46" s="282"/>
      <c r="AY46" s="282"/>
      <c r="AZ46" s="282"/>
      <c r="BA46" s="282"/>
      <c r="BB46" s="282"/>
      <c r="BC46" s="282"/>
      <c r="BD46" s="282"/>
      <c r="BE46" s="282"/>
      <c r="BF46" s="282"/>
      <c r="BG46" s="282"/>
      <c r="BH46" s="282"/>
      <c r="BI46" s="282"/>
      <c r="BJ46" s="282"/>
      <c r="BK46" s="282"/>
      <c r="BL46" s="282"/>
      <c r="BM46" s="282"/>
      <c r="BN46" s="282"/>
      <c r="BO46" s="282"/>
      <c r="BP46" s="282"/>
      <c r="BQ46" s="282"/>
      <c r="BR46" s="282"/>
    </row>
    <row r="47" spans="1:70" ht="21">
      <c r="A47" s="302" t="s">
        <v>262</v>
      </c>
    </row>
    <row r="68" spans="1:81" ht="17" thickBot="1">
      <c r="A68" s="282"/>
      <c r="B68" s="282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2"/>
      <c r="AG68" s="282"/>
      <c r="AH68" s="282"/>
      <c r="AI68" s="282"/>
      <c r="AJ68" s="282"/>
      <c r="AK68" s="282"/>
      <c r="AL68" s="282"/>
      <c r="AM68" s="282"/>
      <c r="AN68" s="282"/>
      <c r="AO68" s="282"/>
      <c r="AP68" s="282"/>
      <c r="AQ68" s="282"/>
      <c r="AR68" s="282"/>
      <c r="AS68" s="282"/>
      <c r="AT68" s="282"/>
      <c r="AU68" s="282"/>
      <c r="AV68" s="282"/>
      <c r="AW68" s="282"/>
      <c r="AX68" s="282"/>
      <c r="AY68" s="282"/>
      <c r="AZ68" s="282"/>
      <c r="BA68" s="282"/>
      <c r="BB68" s="282"/>
      <c r="BC68" s="282"/>
      <c r="BD68" s="282"/>
      <c r="BE68" s="282"/>
      <c r="BF68" s="282"/>
      <c r="BG68" s="282"/>
      <c r="BH68" s="282"/>
      <c r="BI68" s="282"/>
      <c r="BJ68" s="282"/>
      <c r="BK68" s="282"/>
      <c r="BL68" s="282"/>
      <c r="BM68" s="282"/>
      <c r="BN68" s="282"/>
      <c r="BO68" s="282"/>
      <c r="BP68" s="282"/>
      <c r="BQ68" s="282"/>
      <c r="BR68" s="282"/>
      <c r="BS68" s="282"/>
      <c r="BT68" s="282"/>
      <c r="BU68" s="282"/>
      <c r="BV68" s="282"/>
      <c r="BW68" s="282"/>
      <c r="BX68" s="282"/>
      <c r="BY68" s="282"/>
      <c r="BZ68" s="282"/>
      <c r="CA68" s="282"/>
      <c r="CB68" s="282"/>
      <c r="CC68" s="282"/>
    </row>
    <row r="69" spans="1:81" ht="21">
      <c r="A69" s="302" t="s">
        <v>263</v>
      </c>
      <c r="B69" s="285"/>
    </row>
    <row r="97" spans="1:111" ht="17" thickBot="1">
      <c r="A97" s="282"/>
      <c r="B97" s="282"/>
      <c r="C97" s="282"/>
      <c r="D97" s="282"/>
      <c r="E97" s="282"/>
      <c r="F97" s="282"/>
      <c r="G97" s="282"/>
      <c r="H97" s="282"/>
      <c r="I97" s="282"/>
      <c r="J97" s="282"/>
      <c r="K97" s="282"/>
      <c r="L97" s="282"/>
      <c r="M97" s="282"/>
      <c r="N97" s="282"/>
      <c r="O97" s="282"/>
      <c r="P97" s="282"/>
      <c r="Q97" s="282"/>
      <c r="R97" s="282"/>
      <c r="S97" s="282"/>
      <c r="T97" s="282"/>
      <c r="U97" s="282"/>
      <c r="V97" s="282"/>
      <c r="W97" s="282"/>
      <c r="X97" s="282"/>
      <c r="Y97" s="282"/>
      <c r="Z97" s="282"/>
      <c r="AA97" s="282"/>
      <c r="AB97" s="282"/>
      <c r="AC97" s="282"/>
      <c r="AD97" s="282"/>
      <c r="AE97" s="282"/>
      <c r="AF97" s="282"/>
      <c r="AG97" s="282"/>
      <c r="AH97" s="282"/>
      <c r="AI97" s="282"/>
      <c r="AJ97" s="282"/>
      <c r="AK97" s="282"/>
      <c r="AL97" s="282"/>
      <c r="AM97" s="282"/>
      <c r="AN97" s="282"/>
      <c r="AO97" s="282"/>
      <c r="AP97" s="282"/>
      <c r="AQ97" s="282"/>
      <c r="AR97" s="282"/>
      <c r="AS97" s="282"/>
      <c r="AT97" s="282"/>
      <c r="AU97" s="282"/>
      <c r="AV97" s="282"/>
      <c r="AW97" s="282"/>
      <c r="AX97" s="282"/>
      <c r="AY97" s="282"/>
      <c r="AZ97" s="282"/>
      <c r="BA97" s="282"/>
      <c r="BB97" s="282"/>
      <c r="BC97" s="282"/>
      <c r="BD97" s="282"/>
      <c r="BE97" s="282"/>
      <c r="BF97" s="282"/>
      <c r="BG97" s="282"/>
      <c r="BH97" s="282"/>
      <c r="BI97" s="282"/>
      <c r="BJ97" s="282"/>
      <c r="BK97" s="282"/>
      <c r="BL97" s="282"/>
      <c r="BM97" s="282"/>
      <c r="BN97" s="282"/>
      <c r="BO97" s="282"/>
      <c r="BP97" s="282"/>
      <c r="BQ97" s="282"/>
      <c r="BR97" s="282"/>
      <c r="BS97" s="282"/>
      <c r="BT97" s="282"/>
      <c r="BU97" s="282"/>
      <c r="BV97" s="282"/>
      <c r="BW97" s="282"/>
      <c r="BX97" s="282"/>
      <c r="BY97" s="282"/>
      <c r="BZ97" s="282"/>
      <c r="CA97" s="282"/>
      <c r="CB97" s="282"/>
      <c r="CC97" s="282"/>
      <c r="CD97" s="282"/>
      <c r="CE97" s="282"/>
      <c r="CF97" s="282"/>
      <c r="CG97" s="282"/>
      <c r="CH97" s="282"/>
      <c r="CI97" s="282"/>
      <c r="CJ97" s="282"/>
      <c r="CK97" s="282"/>
      <c r="CL97" s="282"/>
      <c r="CM97" s="282"/>
      <c r="CN97" s="282"/>
      <c r="CO97" s="282"/>
      <c r="CP97" s="282"/>
      <c r="CQ97" s="282"/>
      <c r="CR97" s="282"/>
      <c r="CS97" s="282"/>
      <c r="CT97" s="282"/>
      <c r="CU97" s="282"/>
      <c r="CV97" s="282"/>
      <c r="CW97" s="282"/>
      <c r="CX97" s="282"/>
      <c r="CY97" s="282"/>
      <c r="CZ97" s="282"/>
      <c r="DA97" s="282"/>
      <c r="DB97" s="282"/>
      <c r="DC97" s="282"/>
      <c r="DD97" s="282"/>
      <c r="DE97" s="282"/>
      <c r="DF97" s="282"/>
      <c r="DG97" s="28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Показатели</vt:lpstr>
      <vt:lpstr>Графики и Структура капитала</vt:lpstr>
      <vt:lpstr>Анализ активов</vt:lpstr>
      <vt:lpstr>Анализ обязательств</vt:lpstr>
      <vt:lpstr>PnL</vt:lpstr>
      <vt:lpstr>Детализация доходов и расходов </vt:lpstr>
      <vt:lpstr>графики для презентации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Nastya Paznikova</dc:creator>
  <cp:keywords/>
  <dc:description/>
  <cp:lastModifiedBy>Мельник Анастасия Романовна</cp:lastModifiedBy>
  <cp:revision/>
  <dcterms:created xsi:type="dcterms:W3CDTF">2024-10-17T16:11:15Z</dcterms:created>
  <dcterms:modified xsi:type="dcterms:W3CDTF">2024-12-13T23:14:34Z</dcterms:modified>
  <cp:category/>
  <cp:contentStatus/>
</cp:coreProperties>
</file>